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54" windowWidth="19014" windowHeight="7440"/>
  </bookViews>
  <sheets>
    <sheet name="May Triangle" sheetId="1" r:id="rId1"/>
    <sheet name="Ladies Race" sheetId="2" r:id="rId2"/>
    <sheet name="Trebeurden" sheetId="3" r:id="rId3"/>
    <sheet name="Eddystone" sheetId="4" r:id="rId4"/>
    <sheet name="Pursuit Race" sheetId="5" r:id="rId5"/>
    <sheet name="Autumn Series PH Whole Fleet" sheetId="8" r:id="rId6"/>
    <sheet name="Autumn Series By Class" sheetId="7" r:id="rId7"/>
  </sheets>
  <calcPr calcId="125725"/>
</workbook>
</file>

<file path=xl/calcChain.xml><?xml version="1.0" encoding="utf-8"?>
<calcChain xmlns="http://schemas.openxmlformats.org/spreadsheetml/2006/main">
  <c r="AI14" i="8"/>
  <c r="AI15"/>
  <c r="AI16"/>
  <c r="AI17"/>
  <c r="AI18"/>
  <c r="AI19"/>
  <c r="AI24"/>
  <c r="AI28"/>
  <c r="AI29"/>
  <c r="AI30"/>
  <c r="AI12"/>
  <c r="AC13"/>
  <c r="AC14"/>
  <c r="AC15"/>
  <c r="AC16"/>
  <c r="AC18"/>
  <c r="AC19"/>
  <c r="AC24"/>
  <c r="AC26"/>
  <c r="AC29"/>
  <c r="AC12"/>
  <c r="AL30"/>
  <c r="AG30"/>
  <c r="AF30"/>
  <c r="Z30"/>
  <c r="U30"/>
  <c r="T30"/>
  <c r="O30"/>
  <c r="P30"/>
  <c r="Q30"/>
  <c r="N30"/>
  <c r="AL29"/>
  <c r="AG29"/>
  <c r="AF29"/>
  <c r="AA29"/>
  <c r="Z29"/>
  <c r="U29"/>
  <c r="V29"/>
  <c r="W29"/>
  <c r="T29"/>
  <c r="O29"/>
  <c r="N29"/>
  <c r="I29"/>
  <c r="J29"/>
  <c r="K29"/>
  <c r="H29"/>
  <c r="AL28"/>
  <c r="AG28"/>
  <c r="AF28"/>
  <c r="U28"/>
  <c r="T28"/>
  <c r="O28"/>
  <c r="N28"/>
  <c r="I28"/>
  <c r="H28"/>
  <c r="AL27"/>
  <c r="Z27"/>
  <c r="U27"/>
  <c r="T27"/>
  <c r="V27"/>
  <c r="W27"/>
  <c r="O27"/>
  <c r="P27"/>
  <c r="Q27"/>
  <c r="N27"/>
  <c r="I27"/>
  <c r="H27"/>
  <c r="AL26"/>
  <c r="AA26"/>
  <c r="AB26"/>
  <c r="Z26"/>
  <c r="O26"/>
  <c r="N26"/>
  <c r="P26"/>
  <c r="Q26"/>
  <c r="I26"/>
  <c r="H26"/>
  <c r="AL25"/>
  <c r="I25"/>
  <c r="H25"/>
  <c r="AL24"/>
  <c r="AG24"/>
  <c r="AH24"/>
  <c r="AF24"/>
  <c r="AA24"/>
  <c r="Z24"/>
  <c r="U24"/>
  <c r="T24"/>
  <c r="O24"/>
  <c r="N24"/>
  <c r="P24"/>
  <c r="Q24"/>
  <c r="I24"/>
  <c r="H24"/>
  <c r="AL23"/>
  <c r="H23"/>
  <c r="AL22"/>
  <c r="I22"/>
  <c r="J22"/>
  <c r="K22"/>
  <c r="H22"/>
  <c r="AL21"/>
  <c r="I21"/>
  <c r="H21"/>
  <c r="AL20"/>
  <c r="I20"/>
  <c r="H20"/>
  <c r="AL19"/>
  <c r="AG19"/>
  <c r="AF19"/>
  <c r="AA19"/>
  <c r="Z19"/>
  <c r="U19"/>
  <c r="T19"/>
  <c r="O19"/>
  <c r="N19"/>
  <c r="I19"/>
  <c r="H19"/>
  <c r="AL18"/>
  <c r="AG18"/>
  <c r="AF18"/>
  <c r="AA18"/>
  <c r="Z18"/>
  <c r="U18"/>
  <c r="T18"/>
  <c r="O18"/>
  <c r="N18"/>
  <c r="I18"/>
  <c r="H18"/>
  <c r="AL17"/>
  <c r="AG17"/>
  <c r="AH17"/>
  <c r="AF17"/>
  <c r="Z17"/>
  <c r="U17"/>
  <c r="T17"/>
  <c r="I17"/>
  <c r="H17"/>
  <c r="J17"/>
  <c r="K17"/>
  <c r="AL16"/>
  <c r="AG16"/>
  <c r="AH16"/>
  <c r="AF16"/>
  <c r="AA16"/>
  <c r="Z16"/>
  <c r="U16"/>
  <c r="V16"/>
  <c r="W16"/>
  <c r="T16"/>
  <c r="O16"/>
  <c r="N16"/>
  <c r="I16"/>
  <c r="J16"/>
  <c r="K16"/>
  <c r="H16"/>
  <c r="AL15"/>
  <c r="AG15"/>
  <c r="AF15"/>
  <c r="AA15"/>
  <c r="Z15"/>
  <c r="U15"/>
  <c r="T15"/>
  <c r="O15"/>
  <c r="N15"/>
  <c r="I15"/>
  <c r="H15"/>
  <c r="AL14"/>
  <c r="AG14"/>
  <c r="AF14"/>
  <c r="AA14"/>
  <c r="AB14"/>
  <c r="Z14"/>
  <c r="U14"/>
  <c r="T14"/>
  <c r="O14"/>
  <c r="P14"/>
  <c r="Q14"/>
  <c r="N14"/>
  <c r="I14"/>
  <c r="H14"/>
  <c r="AL13"/>
  <c r="AA13"/>
  <c r="Z13"/>
  <c r="T13"/>
  <c r="I13"/>
  <c r="H13"/>
  <c r="AL12"/>
  <c r="AG12"/>
  <c r="AF12"/>
  <c r="AA12"/>
  <c r="Z12"/>
  <c r="U12"/>
  <c r="T12"/>
  <c r="O12"/>
  <c r="N12"/>
  <c r="I12"/>
  <c r="H12"/>
  <c r="AL33" i="7"/>
  <c r="AG33"/>
  <c r="AH33"/>
  <c r="AI33"/>
  <c r="AF33"/>
  <c r="Z33"/>
  <c r="V33"/>
  <c r="W33"/>
  <c r="U33"/>
  <c r="T33"/>
  <c r="P33"/>
  <c r="Q33"/>
  <c r="O33"/>
  <c r="N33"/>
  <c r="AL32"/>
  <c r="AG32"/>
  <c r="AH32"/>
  <c r="AI32"/>
  <c r="AF32"/>
  <c r="AA32"/>
  <c r="AB32"/>
  <c r="AC32"/>
  <c r="Z32"/>
  <c r="U32"/>
  <c r="V32"/>
  <c r="W32"/>
  <c r="T32"/>
  <c r="O32"/>
  <c r="P32"/>
  <c r="Q32"/>
  <c r="N32"/>
  <c r="I32"/>
  <c r="J32"/>
  <c r="K32"/>
  <c r="H32"/>
  <c r="AL31"/>
  <c r="AG31"/>
  <c r="AH31"/>
  <c r="AI31"/>
  <c r="AF31"/>
  <c r="U31"/>
  <c r="V31"/>
  <c r="W31"/>
  <c r="T31"/>
  <c r="O31"/>
  <c r="P31"/>
  <c r="Q31"/>
  <c r="N31"/>
  <c r="I31"/>
  <c r="J31"/>
  <c r="K31"/>
  <c r="H31"/>
  <c r="AL30"/>
  <c r="Z30"/>
  <c r="U30"/>
  <c r="V30"/>
  <c r="W30"/>
  <c r="T30"/>
  <c r="O30"/>
  <c r="P30"/>
  <c r="Q30"/>
  <c r="N30"/>
  <c r="I30"/>
  <c r="J30"/>
  <c r="K30"/>
  <c r="H30"/>
  <c r="AL29"/>
  <c r="AA29"/>
  <c r="AB29"/>
  <c r="AC29"/>
  <c r="Z29"/>
  <c r="O29"/>
  <c r="P29"/>
  <c r="Q29"/>
  <c r="N29"/>
  <c r="I29"/>
  <c r="J29"/>
  <c r="K29"/>
  <c r="H29"/>
  <c r="AL28"/>
  <c r="J28"/>
  <c r="K28"/>
  <c r="I28"/>
  <c r="H28"/>
  <c r="AL27"/>
  <c r="AG27"/>
  <c r="AH27"/>
  <c r="AI27"/>
  <c r="AF27"/>
  <c r="AA27"/>
  <c r="AB27"/>
  <c r="AC27"/>
  <c r="Z27"/>
  <c r="U27"/>
  <c r="V27"/>
  <c r="W27"/>
  <c r="T27"/>
  <c r="O27"/>
  <c r="P27"/>
  <c r="Q27"/>
  <c r="N27"/>
  <c r="I27"/>
  <c r="J27"/>
  <c r="K27"/>
  <c r="H27"/>
  <c r="AL26"/>
  <c r="H26"/>
  <c r="AL25"/>
  <c r="I25"/>
  <c r="J25"/>
  <c r="K25"/>
  <c r="H25"/>
  <c r="AL24"/>
  <c r="K24"/>
  <c r="J24"/>
  <c r="I24"/>
  <c r="H24"/>
  <c r="AL23"/>
  <c r="I23"/>
  <c r="J23"/>
  <c r="K23"/>
  <c r="H23"/>
  <c r="AL22"/>
  <c r="AH22"/>
  <c r="AI22"/>
  <c r="AG22"/>
  <c r="AF22"/>
  <c r="AB22"/>
  <c r="AC22"/>
  <c r="AA22"/>
  <c r="Z22"/>
  <c r="V22"/>
  <c r="W22"/>
  <c r="U22"/>
  <c r="T22"/>
  <c r="P22"/>
  <c r="Q22"/>
  <c r="O22"/>
  <c r="N22"/>
  <c r="J22"/>
  <c r="K22"/>
  <c r="I22"/>
  <c r="H22"/>
  <c r="AL18"/>
  <c r="AI18"/>
  <c r="AH18"/>
  <c r="AG18"/>
  <c r="AF18"/>
  <c r="AC18"/>
  <c r="AB18"/>
  <c r="AA18"/>
  <c r="Z18"/>
  <c r="W18"/>
  <c r="V18"/>
  <c r="U18"/>
  <c r="T18"/>
  <c r="Q18"/>
  <c r="P18"/>
  <c r="O18"/>
  <c r="N18"/>
  <c r="K18"/>
  <c r="J18"/>
  <c r="I18"/>
  <c r="H18"/>
  <c r="AL17"/>
  <c r="AG17"/>
  <c r="AH17"/>
  <c r="AI17"/>
  <c r="AF17"/>
  <c r="Z17"/>
  <c r="U17"/>
  <c r="V17"/>
  <c r="W17"/>
  <c r="T17"/>
  <c r="I17"/>
  <c r="J17"/>
  <c r="K17"/>
  <c r="H17"/>
  <c r="AL16"/>
  <c r="AH16"/>
  <c r="AI16"/>
  <c r="AG16"/>
  <c r="AF16"/>
  <c r="AA16"/>
  <c r="AB16"/>
  <c r="AC16"/>
  <c r="Z16"/>
  <c r="U16"/>
  <c r="V16"/>
  <c r="W16"/>
  <c r="T16"/>
  <c r="O16"/>
  <c r="P16"/>
  <c r="Q16"/>
  <c r="N16"/>
  <c r="I16"/>
  <c r="J16"/>
  <c r="K16"/>
  <c r="H16"/>
  <c r="AL15"/>
  <c r="AH15"/>
  <c r="AI15"/>
  <c r="AG15"/>
  <c r="AF15"/>
  <c r="AB15"/>
  <c r="AC15"/>
  <c r="AA15"/>
  <c r="Z15"/>
  <c r="V15"/>
  <c r="W15"/>
  <c r="U15"/>
  <c r="T15"/>
  <c r="P15"/>
  <c r="Q15"/>
  <c r="O15"/>
  <c r="N15"/>
  <c r="J15"/>
  <c r="K15"/>
  <c r="I15"/>
  <c r="H15"/>
  <c r="AL14"/>
  <c r="AI14"/>
  <c r="AH14"/>
  <c r="AG14"/>
  <c r="AF14"/>
  <c r="AA14"/>
  <c r="Z14"/>
  <c r="AB14"/>
  <c r="AC14"/>
  <c r="U14"/>
  <c r="V14"/>
  <c r="W14"/>
  <c r="T14"/>
  <c r="O14"/>
  <c r="P14"/>
  <c r="Q14"/>
  <c r="N14"/>
  <c r="I14"/>
  <c r="J14"/>
  <c r="K14"/>
  <c r="H14"/>
  <c r="AL13"/>
  <c r="AA13"/>
  <c r="AB13"/>
  <c r="AC13"/>
  <c r="Z13"/>
  <c r="T13"/>
  <c r="J13"/>
  <c r="K13"/>
  <c r="I13"/>
  <c r="H13"/>
  <c r="AL12"/>
  <c r="AG12"/>
  <c r="AH12"/>
  <c r="AI12"/>
  <c r="AF12"/>
  <c r="AA12"/>
  <c r="AB12"/>
  <c r="AC12"/>
  <c r="Z12"/>
  <c r="U12"/>
  <c r="V12"/>
  <c r="W12"/>
  <c r="T12"/>
  <c r="O12"/>
  <c r="P12"/>
  <c r="Q12"/>
  <c r="N12"/>
  <c r="I12"/>
  <c r="J12"/>
  <c r="K12"/>
  <c r="H12"/>
  <c r="J7" i="5"/>
  <c r="J6"/>
  <c r="H11"/>
  <c r="I11"/>
  <c r="J11"/>
  <c r="H7"/>
  <c r="H6"/>
  <c r="H10"/>
  <c r="H8"/>
  <c r="H9"/>
  <c r="G11"/>
  <c r="G7"/>
  <c r="G6"/>
  <c r="G5"/>
  <c r="G10"/>
  <c r="G8"/>
  <c r="I9"/>
  <c r="J9"/>
  <c r="G9"/>
  <c r="J22" i="4"/>
  <c r="K22"/>
  <c r="L22"/>
  <c r="I22"/>
  <c r="I21"/>
  <c r="I20"/>
  <c r="I19"/>
  <c r="J18"/>
  <c r="K18"/>
  <c r="L18"/>
  <c r="I18"/>
  <c r="J17"/>
  <c r="K17"/>
  <c r="L17"/>
  <c r="I17"/>
  <c r="J16"/>
  <c r="K16"/>
  <c r="L16"/>
  <c r="I16"/>
  <c r="I15"/>
  <c r="J12"/>
  <c r="K12"/>
  <c r="L12"/>
  <c r="I12"/>
  <c r="J11"/>
  <c r="K11"/>
  <c r="L11"/>
  <c r="I11"/>
  <c r="J10"/>
  <c r="K10"/>
  <c r="L10"/>
  <c r="I10"/>
  <c r="J9"/>
  <c r="K9"/>
  <c r="L9"/>
  <c r="I9"/>
  <c r="I8"/>
  <c r="J7"/>
  <c r="K7"/>
  <c r="L7"/>
  <c r="I7"/>
  <c r="I6"/>
  <c r="J4"/>
  <c r="I4"/>
  <c r="J38" i="3"/>
  <c r="K38"/>
  <c r="L38"/>
  <c r="I38"/>
  <c r="H38"/>
  <c r="J37"/>
  <c r="I37"/>
  <c r="K37"/>
  <c r="L37"/>
  <c r="H37"/>
  <c r="J36"/>
  <c r="K36"/>
  <c r="L36"/>
  <c r="I36"/>
  <c r="H36"/>
  <c r="K35"/>
  <c r="L35"/>
  <c r="J35"/>
  <c r="I35"/>
  <c r="H35"/>
  <c r="J33"/>
  <c r="K33"/>
  <c r="L33"/>
  <c r="I33"/>
  <c r="H33"/>
  <c r="J32"/>
  <c r="I32"/>
  <c r="K32"/>
  <c r="L32"/>
  <c r="H32"/>
  <c r="J31"/>
  <c r="K31"/>
  <c r="L31"/>
  <c r="I31"/>
  <c r="H31"/>
  <c r="K30"/>
  <c r="L30"/>
  <c r="J30"/>
  <c r="I30"/>
  <c r="H30"/>
  <c r="J29"/>
  <c r="K29"/>
  <c r="L29"/>
  <c r="I29"/>
  <c r="H29"/>
  <c r="J28"/>
  <c r="I28"/>
  <c r="K28"/>
  <c r="L28"/>
  <c r="H28"/>
  <c r="I27"/>
  <c r="H27"/>
  <c r="J26"/>
  <c r="K26"/>
  <c r="L26"/>
  <c r="I26"/>
  <c r="H26"/>
  <c r="J25"/>
  <c r="I25"/>
  <c r="K25"/>
  <c r="L25"/>
  <c r="H25"/>
  <c r="J24"/>
  <c r="K24"/>
  <c r="L24"/>
  <c r="I24"/>
  <c r="H24"/>
  <c r="K23"/>
  <c r="L23"/>
  <c r="J23"/>
  <c r="I23"/>
  <c r="H23"/>
  <c r="J22"/>
  <c r="K22"/>
  <c r="L22"/>
  <c r="I22"/>
  <c r="H22"/>
  <c r="J21"/>
  <c r="I21"/>
  <c r="K21"/>
  <c r="L21"/>
  <c r="H21"/>
  <c r="J20"/>
  <c r="K20"/>
  <c r="L20"/>
  <c r="I20"/>
  <c r="H20"/>
  <c r="K19"/>
  <c r="L19"/>
  <c r="J19"/>
  <c r="I19"/>
  <c r="H19"/>
  <c r="J18"/>
  <c r="K18"/>
  <c r="L18"/>
  <c r="I18"/>
  <c r="H18"/>
  <c r="J17"/>
  <c r="I17"/>
  <c r="K17"/>
  <c r="L17"/>
  <c r="H17"/>
  <c r="J14"/>
  <c r="K14"/>
  <c r="L14"/>
  <c r="I14"/>
  <c r="H14"/>
  <c r="K13"/>
  <c r="L13"/>
  <c r="J13"/>
  <c r="I13"/>
  <c r="H13"/>
  <c r="J12"/>
  <c r="K12"/>
  <c r="L12"/>
  <c r="I12"/>
  <c r="H12"/>
  <c r="J11"/>
  <c r="I11"/>
  <c r="K11"/>
  <c r="L11"/>
  <c r="H11"/>
  <c r="I10"/>
  <c r="H10"/>
  <c r="J9"/>
  <c r="K9"/>
  <c r="L9"/>
  <c r="I9"/>
  <c r="H9"/>
  <c r="J8"/>
  <c r="I8"/>
  <c r="K8"/>
  <c r="L8"/>
  <c r="H8"/>
  <c r="J7"/>
  <c r="K7"/>
  <c r="L7"/>
  <c r="I7"/>
  <c r="H7"/>
  <c r="K6"/>
  <c r="L6"/>
  <c r="J6"/>
  <c r="I6"/>
  <c r="H6"/>
  <c r="F8" i="2"/>
  <c r="E8"/>
  <c r="F7"/>
  <c r="G7"/>
  <c r="H7"/>
  <c r="E7"/>
  <c r="F6"/>
  <c r="E6"/>
  <c r="Y12" i="1"/>
  <c r="T12"/>
  <c r="S12"/>
  <c r="N12"/>
  <c r="P12"/>
  <c r="Q12"/>
  <c r="M12"/>
  <c r="H12"/>
  <c r="G12"/>
  <c r="Y11"/>
  <c r="T11"/>
  <c r="S11"/>
  <c r="N11"/>
  <c r="P11"/>
  <c r="Q11"/>
  <c r="M11"/>
  <c r="I11"/>
  <c r="G11"/>
  <c r="Y10"/>
  <c r="T10"/>
  <c r="V10"/>
  <c r="W10"/>
  <c r="S10"/>
  <c r="N10"/>
  <c r="M10"/>
  <c r="H10"/>
  <c r="J10"/>
  <c r="K10"/>
  <c r="G10"/>
  <c r="Y9"/>
  <c r="T9"/>
  <c r="V9"/>
  <c r="W9"/>
  <c r="S9"/>
  <c r="N9"/>
  <c r="M9"/>
  <c r="I9"/>
  <c r="H9"/>
  <c r="J9"/>
  <c r="K9"/>
  <c r="G9"/>
  <c r="Y8"/>
  <c r="W8"/>
  <c r="V8"/>
  <c r="T8"/>
  <c r="S8"/>
  <c r="Q8"/>
  <c r="P8"/>
  <c r="N8"/>
  <c r="M8"/>
  <c r="I8"/>
  <c r="H8"/>
  <c r="G8"/>
  <c r="Y7"/>
  <c r="U7"/>
  <c r="T7"/>
  <c r="V7"/>
  <c r="W7"/>
  <c r="S7"/>
  <c r="N7"/>
  <c r="P7"/>
  <c r="Q7"/>
  <c r="M7"/>
  <c r="I7"/>
  <c r="H7"/>
  <c r="J7"/>
  <c r="K7"/>
  <c r="G7"/>
  <c r="Y6"/>
  <c r="T6"/>
  <c r="S6"/>
  <c r="N6"/>
  <c r="P6"/>
  <c r="Q6"/>
  <c r="M6"/>
  <c r="H6"/>
  <c r="G6"/>
  <c r="G6" i="2"/>
  <c r="H6"/>
  <c r="G8"/>
  <c r="H8"/>
  <c r="J8" i="1"/>
  <c r="K8"/>
  <c r="P9"/>
  <c r="Q9"/>
  <c r="V11"/>
  <c r="W11"/>
  <c r="J6"/>
  <c r="K6"/>
  <c r="V6"/>
  <c r="W6"/>
  <c r="P10"/>
  <c r="Q10"/>
  <c r="J12"/>
  <c r="K12"/>
  <c r="V12"/>
  <c r="W12"/>
  <c r="I10" i="5"/>
  <c r="J10"/>
  <c r="I8"/>
  <c r="J8"/>
  <c r="I7"/>
  <c r="I6"/>
  <c r="V17" i="8"/>
  <c r="W17"/>
  <c r="AB24"/>
  <c r="J27"/>
  <c r="K27"/>
  <c r="P29"/>
  <c r="Q29"/>
  <c r="P16"/>
  <c r="Q16"/>
  <c r="AB16"/>
  <c r="J12"/>
  <c r="K12"/>
  <c r="V12"/>
  <c r="W12"/>
  <c r="AH12"/>
  <c r="J14"/>
  <c r="K14"/>
  <c r="V14"/>
  <c r="W14"/>
  <c r="AH14"/>
  <c r="P18"/>
  <c r="Q18"/>
  <c r="AB18"/>
  <c r="J19"/>
  <c r="K19"/>
  <c r="V19"/>
  <c r="W19"/>
  <c r="AH19"/>
  <c r="J20"/>
  <c r="K20"/>
  <c r="J21"/>
  <c r="K21"/>
  <c r="J24"/>
  <c r="K24"/>
  <c r="V24"/>
  <c r="W24"/>
  <c r="J25"/>
  <c r="K25"/>
  <c r="J26"/>
  <c r="K26"/>
  <c r="J28"/>
  <c r="K28"/>
  <c r="V28"/>
  <c r="W28"/>
  <c r="AB29"/>
  <c r="P12"/>
  <c r="Q12"/>
  <c r="AB12"/>
  <c r="J13"/>
  <c r="K13"/>
  <c r="AB13"/>
  <c r="J18"/>
  <c r="K18"/>
  <c r="V18"/>
  <c r="W18"/>
  <c r="AH18"/>
  <c r="P28"/>
  <c r="Q28"/>
  <c r="AH28"/>
  <c r="P19"/>
  <c r="Q19"/>
  <c r="AB19"/>
  <c r="V30"/>
  <c r="W30"/>
  <c r="P15"/>
  <c r="Q15"/>
  <c r="AB15"/>
  <c r="AH29"/>
  <c r="AH30"/>
  <c r="J15"/>
  <c r="K15"/>
  <c r="V15"/>
  <c r="W15"/>
  <c r="AH15"/>
</calcChain>
</file>

<file path=xl/comments1.xml><?xml version="1.0" encoding="utf-8"?>
<comments xmlns="http://schemas.openxmlformats.org/spreadsheetml/2006/main">
  <authors>
    <author>Ian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New 22/05/18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WS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WS</t>
        </r>
      </text>
    </comment>
  </commentList>
</comments>
</file>

<file path=xl/comments2.xml><?xml version="1.0" encoding="utf-8"?>
<comments xmlns="http://schemas.openxmlformats.org/spreadsheetml/2006/main">
  <authors>
    <author>Ian</author>
  </authors>
  <commentList>
    <comment ref="J2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18:19:49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17:19:01</t>
        </r>
      </text>
    </comment>
  </commentList>
</comments>
</file>

<file path=xl/comments3.xml><?xml version="1.0" encoding="utf-8"?>
<comments xmlns="http://schemas.openxmlformats.org/spreadsheetml/2006/main">
  <authors>
    <author>Ian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 - CC No Spinnaker</t>
        </r>
      </text>
    </comment>
  </commentList>
</comments>
</file>

<file path=xl/comments4.xml><?xml version="1.0" encoding="utf-8"?>
<comments xmlns="http://schemas.openxmlformats.org/spreadsheetml/2006/main">
  <authors>
    <author>Ian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 - CC No Spinnaker</t>
        </r>
      </text>
    </comment>
  </commentList>
</comments>
</file>

<file path=xl/comments5.xml><?xml version="1.0" encoding="utf-8"?>
<comments xmlns="http://schemas.openxmlformats.org/spreadsheetml/2006/main">
  <authors>
    <author>Ian</author>
  </authors>
  <commentList>
    <comment ref="F30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Ian:</t>
        </r>
        <r>
          <rPr>
            <sz val="9"/>
            <color indexed="81"/>
            <rFont val="Tahoma"/>
            <family val="2"/>
          </rPr>
          <t xml:space="preserve">
White Sail - CC No Spinnaker</t>
        </r>
      </text>
    </comment>
  </commentList>
</comments>
</file>

<file path=xl/sharedStrings.xml><?xml version="1.0" encoding="utf-8"?>
<sst xmlns="http://schemas.openxmlformats.org/spreadsheetml/2006/main" count="1053" uniqueCount="264">
  <si>
    <t>MAY TRIANGLE SERIES RESULTS - 26-28 MAY 2018</t>
  </si>
  <si>
    <t>First Name</t>
  </si>
  <si>
    <t>Last Name</t>
  </si>
  <si>
    <t>Yacht</t>
  </si>
  <si>
    <t>Sail Number</t>
  </si>
  <si>
    <t>IRC</t>
  </si>
  <si>
    <t>PHN</t>
  </si>
  <si>
    <t>Series Points</t>
  </si>
  <si>
    <t>Series Position</t>
  </si>
  <si>
    <t>Start</t>
  </si>
  <si>
    <t>Finish</t>
  </si>
  <si>
    <t>Elapsed</t>
  </si>
  <si>
    <t>Corrected</t>
  </si>
  <si>
    <t>Points</t>
  </si>
  <si>
    <t>Class 1</t>
  </si>
  <si>
    <t>Phryne</t>
  </si>
  <si>
    <t>2nd</t>
  </si>
  <si>
    <t>Barrie</t>
  </si>
  <si>
    <t>Hallett</t>
  </si>
  <si>
    <t>Impulse</t>
  </si>
  <si>
    <t>Blue</t>
  </si>
  <si>
    <t>3rd=</t>
  </si>
  <si>
    <t>Chris &amp; Pat</t>
  </si>
  <si>
    <t>Matthews</t>
  </si>
  <si>
    <t>Satisfaction</t>
  </si>
  <si>
    <t>GBR 5062T</t>
  </si>
  <si>
    <t>White</t>
  </si>
  <si>
    <t>1st</t>
  </si>
  <si>
    <t>Robert</t>
  </si>
  <si>
    <t>Pitts</t>
  </si>
  <si>
    <t>Watermark</t>
  </si>
  <si>
    <t>GBR 7969T</t>
  </si>
  <si>
    <t>6th</t>
  </si>
  <si>
    <t>Simon</t>
  </si>
  <si>
    <t>Julien</t>
  </si>
  <si>
    <t>Calisto</t>
  </si>
  <si>
    <t>9113Y</t>
  </si>
  <si>
    <t>Jan &amp; John</t>
  </si>
  <si>
    <t>Leonard</t>
  </si>
  <si>
    <t>Cunning Plan</t>
  </si>
  <si>
    <t>GBR 9430T</t>
  </si>
  <si>
    <t>DNF</t>
  </si>
  <si>
    <t>7th</t>
  </si>
  <si>
    <t>Tony</t>
  </si>
  <si>
    <t>Tubb</t>
  </si>
  <si>
    <t>Horizon</t>
  </si>
  <si>
    <t>1639T</t>
  </si>
  <si>
    <t>5th</t>
  </si>
  <si>
    <t>LADIES HELM RACE - SUNDAY 3 JULY</t>
  </si>
  <si>
    <t>Helm/Yacht</t>
  </si>
  <si>
    <t>Position</t>
  </si>
  <si>
    <t>Jen Hooper helming Satisfaction</t>
  </si>
  <si>
    <t>Penny Jones helming Phryne</t>
  </si>
  <si>
    <t>Angela Macpherson helming Spero</t>
  </si>
  <si>
    <t>3rd</t>
  </si>
  <si>
    <t>THE 28th 'SUMMERTIME' TREBEURDEN RACE - THURSDAY 21 JUNE 2018</t>
  </si>
  <si>
    <t>Hull Colour</t>
  </si>
  <si>
    <t>Start Time</t>
  </si>
  <si>
    <t>Day Adjustment</t>
  </si>
  <si>
    <t>Finish Time</t>
  </si>
  <si>
    <t>Elapsed Time</t>
  </si>
  <si>
    <t>Class Corrected Time</t>
  </si>
  <si>
    <t>Chris</t>
  </si>
  <si>
    <t>George</t>
  </si>
  <si>
    <t>Roanna</t>
  </si>
  <si>
    <t>Blue/Grey</t>
  </si>
  <si>
    <t xml:space="preserve">Ian </t>
  </si>
  <si>
    <t>Kennedy</t>
  </si>
  <si>
    <t>GBR 9452T</t>
  </si>
  <si>
    <t>Andrew &amp; Chris</t>
  </si>
  <si>
    <t>William</t>
  </si>
  <si>
    <t>Mumford</t>
  </si>
  <si>
    <t>Tarantella</t>
  </si>
  <si>
    <t>GBR 8956T</t>
  </si>
  <si>
    <t>RETD</t>
  </si>
  <si>
    <t>Chris &amp; Sarah</t>
  </si>
  <si>
    <t>Williams</t>
  </si>
  <si>
    <t>Saltheart</t>
  </si>
  <si>
    <t>GBR 735R</t>
  </si>
  <si>
    <t>Roy</t>
  </si>
  <si>
    <t>Beswick</t>
  </si>
  <si>
    <t>Ellie Too</t>
  </si>
  <si>
    <t>GBR5913T</t>
  </si>
  <si>
    <t>Daniel</t>
  </si>
  <si>
    <t>Flanagan</t>
  </si>
  <si>
    <t>Sunburst</t>
  </si>
  <si>
    <t>Grey</t>
  </si>
  <si>
    <t>Class 2</t>
  </si>
  <si>
    <t xml:space="preserve">Andrew </t>
  </si>
  <si>
    <t>Beveridge</t>
  </si>
  <si>
    <t>Nightstar</t>
  </si>
  <si>
    <t>none</t>
  </si>
  <si>
    <t>Roger</t>
  </si>
  <si>
    <t>Boult</t>
  </si>
  <si>
    <t>Devonair</t>
  </si>
  <si>
    <t>Peter &amp; Ian</t>
  </si>
  <si>
    <t>Hemelik</t>
  </si>
  <si>
    <t>Eliminator</t>
  </si>
  <si>
    <t>GBR 2056L</t>
  </si>
  <si>
    <t>Duncan</t>
  </si>
  <si>
    <t>Macpherson</t>
  </si>
  <si>
    <t>Spero</t>
  </si>
  <si>
    <t>4691L</t>
  </si>
  <si>
    <t>Paul</t>
  </si>
  <si>
    <t>Richardson</t>
  </si>
  <si>
    <t>Andiamo 2</t>
  </si>
  <si>
    <t>K 8839Y</t>
  </si>
  <si>
    <t>Alan</t>
  </si>
  <si>
    <t>Winton</t>
  </si>
  <si>
    <t>Eclipse</t>
  </si>
  <si>
    <t>GBR7980Y</t>
  </si>
  <si>
    <t>Barrett</t>
  </si>
  <si>
    <t>Tenacity</t>
  </si>
  <si>
    <t>CO571</t>
  </si>
  <si>
    <t>Heidi</t>
  </si>
  <si>
    <t>Collins</t>
  </si>
  <si>
    <t>Rebel</t>
  </si>
  <si>
    <t>00 1</t>
  </si>
  <si>
    <t>Ashley</t>
  </si>
  <si>
    <t>Davies</t>
  </si>
  <si>
    <t>Crazy Rhythm</t>
  </si>
  <si>
    <t>Carol</t>
  </si>
  <si>
    <t>Hammond</t>
  </si>
  <si>
    <t>Kotuku</t>
  </si>
  <si>
    <t>GBR8243T</t>
  </si>
  <si>
    <t>Adam</t>
  </si>
  <si>
    <t>Littlejohn</t>
  </si>
  <si>
    <t>Flying Colours</t>
  </si>
  <si>
    <t>4558L</t>
  </si>
  <si>
    <t xml:space="preserve">Edward </t>
  </si>
  <si>
    <t>Pearson</t>
  </si>
  <si>
    <t>Sorcerer</t>
  </si>
  <si>
    <t>GBR 1419C</t>
  </si>
  <si>
    <t>Nigel</t>
  </si>
  <si>
    <t>Rollason</t>
  </si>
  <si>
    <t>GBR4052</t>
  </si>
  <si>
    <t xml:space="preserve">Robert </t>
  </si>
  <si>
    <t>Suggett</t>
  </si>
  <si>
    <t>Sir Jasper</t>
  </si>
  <si>
    <t>GBR9457R</t>
  </si>
  <si>
    <t xml:space="preserve">Eric </t>
  </si>
  <si>
    <t>Clouet</t>
  </si>
  <si>
    <t>Tocilia 2</t>
  </si>
  <si>
    <t>F</t>
  </si>
  <si>
    <t>Christophe</t>
  </si>
  <si>
    <t>Cubuer</t>
  </si>
  <si>
    <t>Ritchi</t>
  </si>
  <si>
    <t>Jean Luke</t>
  </si>
  <si>
    <t>Queuffelou</t>
  </si>
  <si>
    <t>Lazy Girl</t>
  </si>
  <si>
    <t>Jean Gerard</t>
  </si>
  <si>
    <t>Garric</t>
  </si>
  <si>
    <t>Glasmor 2</t>
  </si>
  <si>
    <t>THE EDDYSTONE RACE RESULTS - SUNDAY 8 JULY 2018</t>
  </si>
  <si>
    <t>Class</t>
  </si>
  <si>
    <t>Nigel Irons Lugger</t>
  </si>
  <si>
    <t>RET</t>
  </si>
  <si>
    <t>Westerly Typhoon</t>
  </si>
  <si>
    <t>JOD 35</t>
  </si>
  <si>
    <t>Jon</t>
  </si>
  <si>
    <t>Harris</t>
  </si>
  <si>
    <t>Jamala</t>
  </si>
  <si>
    <t>J105</t>
  </si>
  <si>
    <t>GBR9650R</t>
  </si>
  <si>
    <t>Allan</t>
  </si>
  <si>
    <t>Meredith</t>
  </si>
  <si>
    <t>Al Fresco</t>
  </si>
  <si>
    <t>Prima 38</t>
  </si>
  <si>
    <t>GBR7938R</t>
  </si>
  <si>
    <t>David</t>
  </si>
  <si>
    <t>Oliver</t>
  </si>
  <si>
    <t>Extorsion 8</t>
  </si>
  <si>
    <t>X332</t>
  </si>
  <si>
    <t>FRA7627</t>
  </si>
  <si>
    <t xml:space="preserve">Jamie </t>
  </si>
  <si>
    <t>Watts</t>
  </si>
  <si>
    <t>Black Jack</t>
  </si>
  <si>
    <t>Beneteau First 35</t>
  </si>
  <si>
    <t>GBR7350R</t>
  </si>
  <si>
    <t>Sadler 34</t>
  </si>
  <si>
    <t>Dehler 34</t>
  </si>
  <si>
    <t>Tim</t>
  </si>
  <si>
    <t>Burne</t>
  </si>
  <si>
    <t>Poppin</t>
  </si>
  <si>
    <t>Albin Ballad</t>
  </si>
  <si>
    <t>GBR3492</t>
  </si>
  <si>
    <t xml:space="preserve">Chris </t>
  </si>
  <si>
    <t>Cload</t>
  </si>
  <si>
    <t>Maverick</t>
  </si>
  <si>
    <t>Impala 28</t>
  </si>
  <si>
    <t>Feeling 850 Club</t>
  </si>
  <si>
    <t>Samuel</t>
  </si>
  <si>
    <t>Marshall</t>
  </si>
  <si>
    <t>Bernoulli</t>
  </si>
  <si>
    <t>Southerly 105</t>
  </si>
  <si>
    <t>None</t>
  </si>
  <si>
    <t>Neil</t>
  </si>
  <si>
    <t>Sorcerer of Tamar</t>
  </si>
  <si>
    <t>Nicholson 345</t>
  </si>
  <si>
    <t>GBR1491C</t>
  </si>
  <si>
    <t>Sunfast 32</t>
  </si>
  <si>
    <t>Series PHN 2 Sep 18</t>
  </si>
  <si>
    <t>Corrected Time</t>
  </si>
  <si>
    <t>Class Position</t>
  </si>
  <si>
    <t>Booth</t>
  </si>
  <si>
    <t>Zest</t>
  </si>
  <si>
    <t>GBR 1547C</t>
  </si>
  <si>
    <t>Sean</t>
  </si>
  <si>
    <t>Cochrane</t>
  </si>
  <si>
    <t>Amalfi</t>
  </si>
  <si>
    <t>2107L</t>
  </si>
  <si>
    <t>Geoff</t>
  </si>
  <si>
    <t>Cooper</t>
  </si>
  <si>
    <t>Lily</t>
  </si>
  <si>
    <t>DNC</t>
  </si>
  <si>
    <t>Dan</t>
  </si>
  <si>
    <t>Fellows</t>
  </si>
  <si>
    <t>City Lights</t>
  </si>
  <si>
    <t>Robin</t>
  </si>
  <si>
    <t>Pratten</t>
  </si>
  <si>
    <t>Fable of Yealm</t>
  </si>
  <si>
    <t>3108T</t>
  </si>
  <si>
    <t>Arthur</t>
  </si>
  <si>
    <t>Peters</t>
  </si>
  <si>
    <t>Kristina</t>
  </si>
  <si>
    <t>Lomax</t>
  </si>
  <si>
    <t>Katy Rawa</t>
  </si>
  <si>
    <t>Wilcox</t>
  </si>
  <si>
    <t>Out of the Blue</t>
  </si>
  <si>
    <t>GBR6600T</t>
  </si>
  <si>
    <t>DNS</t>
  </si>
  <si>
    <t>Race Duration very similar to Autumn Series Race 1</t>
  </si>
  <si>
    <t>(Red indicates discard)</t>
  </si>
  <si>
    <t>Race 3 Cancelled due to Strong Winds</t>
  </si>
  <si>
    <t>Total Points</t>
  </si>
  <si>
    <t>OVERALL SERIES POSITION</t>
  </si>
  <si>
    <t>4=</t>
  </si>
  <si>
    <t>Ian</t>
  </si>
  <si>
    <t>Class 1&amp;2</t>
  </si>
  <si>
    <t>Wind S F1-2</t>
  </si>
  <si>
    <t>Wind North F4-6</t>
  </si>
  <si>
    <t>Wind N F2-3Course, Sierra to Port</t>
  </si>
  <si>
    <t>LEG 2 - DARTMOUTH TO SALCOMBE Wind N F1-2</t>
  </si>
  <si>
    <t>LEG 1 - YEALM TO DARTMOUTH Wind E F4-6</t>
  </si>
  <si>
    <t>LEG 3 - SALCOMBE TO YEALM Wind N F1-2</t>
  </si>
  <si>
    <t>Wind N F2</t>
  </si>
  <si>
    <t>PURSUIT RACE - Sunday 21 October</t>
  </si>
  <si>
    <t>RACE 1 - 9 SEPTEMBER. Wind SW 5-10 Knts</t>
  </si>
  <si>
    <t>RACE 2 - 16 SEPTEMBER, Wind W 5-10 Knts</t>
  </si>
  <si>
    <t>RACE 4 - 30 SEPTEMBER, Wind NW 5-10 Knts</t>
  </si>
  <si>
    <t>RACE 5 - 7 OCTOBER, Wind NW 0-5 Knts</t>
  </si>
  <si>
    <t>RACE 6 - 14 OCTOBER, Wind NW 2-12 Knts</t>
  </si>
  <si>
    <t xml:space="preserve">HAL Links </t>
  </si>
  <si>
    <t xml:space="preserve">Class 1 IRC/TCF: </t>
  </si>
  <si>
    <t>https://www.halsail.com/Result/Public/29135</t>
  </si>
  <si>
    <t>Class 1 PH/NHC:</t>
  </si>
  <si>
    <t>https://www.halsail.com/Result/Public/29471</t>
  </si>
  <si>
    <t xml:space="preserve">Class 2 PH/TCF: </t>
  </si>
  <si>
    <t>https://www.halsail.com/Result/Public/29138</t>
  </si>
  <si>
    <t xml:space="preserve">Class 2 PH/NHC: </t>
  </si>
  <si>
    <t>https://www.halsail.com/Result/Public/29136</t>
  </si>
  <si>
    <t>All Races to Count for Handicap Analysis</t>
  </si>
  <si>
    <t>YYC AUTUMN SERIES 2018 - RESULTS PH BY CLASS</t>
  </si>
  <si>
    <t>YYC AUTUMN SERIES 2018 - RESULTS PH FIXED WHOLE FLEET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</si>
</sst>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7" formatCode="[$-809]dd\ mmmm\ yyyy;@"/>
  </numFmts>
  <fonts count="1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3" xfId="0" applyNumberFormat="1" applyFont="1" applyBorder="1" applyAlignment="1" applyProtection="1">
      <alignment horizontal="center"/>
    </xf>
    <xf numFmtId="164" fontId="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21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" fontId="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1" fontId="0" fillId="0" borderId="6" xfId="0" applyNumberFormat="1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21" fontId="10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1" fontId="0" fillId="0" borderId="0" xfId="0" applyNumberFormat="1"/>
    <xf numFmtId="21" fontId="10" fillId="0" borderId="0" xfId="0" applyNumberFormat="1" applyFont="1"/>
    <xf numFmtId="21" fontId="10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2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21" fontId="0" fillId="0" borderId="2" xfId="0" applyNumberFormat="1" applyBorder="1"/>
    <xf numFmtId="0" fontId="12" fillId="0" borderId="2" xfId="0" applyFont="1" applyBorder="1" applyAlignment="1">
      <alignment horizontal="center"/>
    </xf>
    <xf numFmtId="21" fontId="10" fillId="0" borderId="2" xfId="0" applyNumberFormat="1" applyFont="1" applyBorder="1" applyAlignment="1">
      <alignment horizontal="right"/>
    </xf>
    <xf numFmtId="21" fontId="0" fillId="0" borderId="2" xfId="0" applyNumberFormat="1" applyBorder="1" applyAlignment="1">
      <alignment horizontal="right"/>
    </xf>
    <xf numFmtId="2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1" fontId="7" fillId="0" borderId="2" xfId="0" applyNumberFormat="1" applyFont="1" applyBorder="1"/>
    <xf numFmtId="0" fontId="6" fillId="0" borderId="2" xfId="0" applyFont="1" applyBorder="1"/>
    <xf numFmtId="0" fontId="0" fillId="0" borderId="2" xfId="0" applyBorder="1" applyAlignment="1">
      <alignment horizontal="left"/>
    </xf>
    <xf numFmtId="0" fontId="0" fillId="0" borderId="5" xfId="0" applyBorder="1"/>
    <xf numFmtId="0" fontId="0" fillId="0" borderId="2" xfId="0" applyFont="1" applyBorder="1"/>
    <xf numFmtId="21" fontId="0" fillId="0" borderId="2" xfId="0" applyNumberFormat="1" applyFont="1" applyBorder="1"/>
    <xf numFmtId="0" fontId="10" fillId="0" borderId="2" xfId="0" applyFont="1" applyBorder="1"/>
    <xf numFmtId="21" fontId="10" fillId="0" borderId="2" xfId="0" applyNumberFormat="1" applyFont="1" applyBorder="1"/>
    <xf numFmtId="21" fontId="0" fillId="0" borderId="10" xfId="0" applyNumberFormat="1" applyFont="1" applyBorder="1"/>
    <xf numFmtId="21" fontId="0" fillId="0" borderId="11" xfId="0" applyNumberFormat="1" applyFont="1" applyBorder="1"/>
    <xf numFmtId="21" fontId="0" fillId="0" borderId="0" xfId="0" applyNumberFormat="1" applyFont="1" applyBorder="1"/>
    <xf numFmtId="0" fontId="9" fillId="0" borderId="0" xfId="0" applyFont="1" applyAlignment="1">
      <alignment horizontal="center"/>
    </xf>
    <xf numFmtId="21" fontId="0" fillId="0" borderId="12" xfId="0" applyNumberFormat="1" applyFont="1" applyBorder="1"/>
    <xf numFmtId="21" fontId="0" fillId="0" borderId="9" xfId="0" applyNumberFormat="1" applyFont="1" applyBorder="1"/>
    <xf numFmtId="0" fontId="14" fillId="0" borderId="2" xfId="0" applyFont="1" applyBorder="1" applyAlignment="1">
      <alignment horizontal="center"/>
    </xf>
    <xf numFmtId="165" fontId="0" fillId="0" borderId="2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0" fillId="0" borderId="10" xfId="0" applyNumberFormat="1" applyFont="1" applyBorder="1"/>
    <xf numFmtId="0" fontId="0" fillId="0" borderId="2" xfId="0" applyBorder="1" applyAlignment="1">
      <alignment horizontal="right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0" fillId="0" borderId="9" xfId="0" applyNumberFormat="1" applyFont="1" applyBorder="1"/>
    <xf numFmtId="0" fontId="1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/>
    <xf numFmtId="0" fontId="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1" fontId="0" fillId="0" borderId="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7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7" fillId="0" borderId="10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right"/>
    </xf>
    <xf numFmtId="165" fontId="7" fillId="0" borderId="9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/>
    <xf numFmtId="0" fontId="10" fillId="0" borderId="0" xfId="0" applyFont="1" applyAlignment="1"/>
    <xf numFmtId="0" fontId="0" fillId="0" borderId="0" xfId="0" applyAlignment="1"/>
    <xf numFmtId="0" fontId="5" fillId="0" borderId="0" xfId="1" applyAlignment="1" applyProtection="1"/>
    <xf numFmtId="0" fontId="0" fillId="0" borderId="2" xfId="0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17" fillId="0" borderId="29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lsail.com/Result/Public/29138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s://www.halsail.com/Result/Public/29135" TargetMode="External"/><Relationship Id="rId1" Type="http://schemas.openxmlformats.org/officeDocument/2006/relationships/hyperlink" Target="https://www.halsail.com/Result/Public/29471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halsail.com/Result/Public/2913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lsail.com/Result/Public/29138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s://www.halsail.com/Result/Public/29135" TargetMode="External"/><Relationship Id="rId1" Type="http://schemas.openxmlformats.org/officeDocument/2006/relationships/hyperlink" Target="https://www.halsail.com/Result/Public/29471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halsail.com/Result/Public/2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workbookViewId="0"/>
  </sheetViews>
  <sheetFormatPr defaultRowHeight="14.4"/>
  <cols>
    <col min="3" max="3" width="11.20703125" customWidth="1"/>
    <col min="4" max="4" width="9.89453125" customWidth="1"/>
  </cols>
  <sheetData>
    <row r="1" spans="1:42" ht="18.3">
      <c r="C1" s="1" t="s">
        <v>0</v>
      </c>
      <c r="D1" s="2"/>
      <c r="E1" s="3"/>
      <c r="F1" s="3"/>
      <c r="K1" s="4"/>
      <c r="L1" s="5"/>
      <c r="Q1" s="4"/>
      <c r="R1" s="5"/>
      <c r="W1" s="4"/>
      <c r="X1" s="6"/>
      <c r="Y1" s="7"/>
      <c r="Z1" s="3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4.7" thickBot="1">
      <c r="D2" s="2"/>
      <c r="E2" s="3"/>
      <c r="F2" s="3"/>
      <c r="K2" s="4"/>
      <c r="L2" s="5"/>
      <c r="Q2" s="4"/>
      <c r="R2" s="5"/>
      <c r="W2" s="4"/>
      <c r="X2" s="6"/>
      <c r="Y2" s="7"/>
      <c r="Z2" s="3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>
      <c r="A3" t="s">
        <v>1</v>
      </c>
      <c r="B3" t="s">
        <v>2</v>
      </c>
      <c r="C3" s="159" t="s">
        <v>3</v>
      </c>
      <c r="D3" s="171" t="s">
        <v>4</v>
      </c>
      <c r="E3" s="174" t="s">
        <v>5</v>
      </c>
      <c r="F3" s="162" t="s">
        <v>6</v>
      </c>
      <c r="G3" s="165" t="s">
        <v>243</v>
      </c>
      <c r="H3" s="166"/>
      <c r="I3" s="166"/>
      <c r="J3" s="166"/>
      <c r="K3" s="166"/>
      <c r="L3" s="167"/>
      <c r="M3" s="165" t="s">
        <v>242</v>
      </c>
      <c r="N3" s="166"/>
      <c r="O3" s="166"/>
      <c r="P3" s="166"/>
      <c r="Q3" s="166"/>
      <c r="R3" s="167"/>
      <c r="S3" s="165" t="s">
        <v>244</v>
      </c>
      <c r="T3" s="166"/>
      <c r="U3" s="166"/>
      <c r="V3" s="166"/>
      <c r="W3" s="166"/>
      <c r="X3" s="167"/>
      <c r="Y3" s="168" t="s">
        <v>7</v>
      </c>
      <c r="Z3" s="156" t="s">
        <v>8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s="3" customFormat="1">
      <c r="C4" s="160"/>
      <c r="D4" s="172"/>
      <c r="E4" s="175"/>
      <c r="F4" s="163"/>
      <c r="G4" s="14" t="s">
        <v>9</v>
      </c>
      <c r="H4" s="15" t="s">
        <v>10</v>
      </c>
      <c r="I4" s="15"/>
      <c r="J4" s="15" t="s">
        <v>11</v>
      </c>
      <c r="K4" s="16" t="s">
        <v>12</v>
      </c>
      <c r="L4" s="17" t="s">
        <v>13</v>
      </c>
      <c r="M4" s="14" t="s">
        <v>9</v>
      </c>
      <c r="N4" s="15" t="s">
        <v>10</v>
      </c>
      <c r="O4" s="15"/>
      <c r="P4" s="15" t="s">
        <v>11</v>
      </c>
      <c r="Q4" s="16" t="s">
        <v>12</v>
      </c>
      <c r="R4" s="17" t="s">
        <v>13</v>
      </c>
      <c r="S4" s="14" t="s">
        <v>9</v>
      </c>
      <c r="T4" s="15" t="s">
        <v>10</v>
      </c>
      <c r="U4" s="15"/>
      <c r="V4" s="15" t="s">
        <v>11</v>
      </c>
      <c r="W4" s="16" t="s">
        <v>12</v>
      </c>
      <c r="X4" s="17" t="s">
        <v>13</v>
      </c>
      <c r="Y4" s="169"/>
      <c r="Z4" s="157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s="3" customFormat="1" ht="14.7" thickBot="1">
      <c r="A5" s="18" t="s">
        <v>238</v>
      </c>
      <c r="C5" s="161"/>
      <c r="D5" s="173"/>
      <c r="E5" s="176"/>
      <c r="F5" s="164"/>
      <c r="G5" s="19"/>
      <c r="H5" s="13"/>
      <c r="I5" s="13"/>
      <c r="J5" s="13"/>
      <c r="K5" s="20"/>
      <c r="L5" s="21"/>
      <c r="M5" s="19"/>
      <c r="N5" s="13"/>
      <c r="O5" s="13"/>
      <c r="P5" s="13"/>
      <c r="Q5" s="20"/>
      <c r="R5" s="21"/>
      <c r="S5" s="19"/>
      <c r="T5" s="13"/>
      <c r="U5" s="13"/>
      <c r="V5" s="13"/>
      <c r="W5" s="20"/>
      <c r="X5" s="21"/>
      <c r="Y5" s="170"/>
      <c r="Z5" s="158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s="20" customFormat="1">
      <c r="A6" s="13" t="s">
        <v>237</v>
      </c>
      <c r="B6" s="121" t="s">
        <v>67</v>
      </c>
      <c r="C6" s="19" t="s">
        <v>15</v>
      </c>
      <c r="E6" s="100"/>
      <c r="F6" s="23">
        <v>0.92400000000000004</v>
      </c>
      <c r="G6" s="24">
        <f t="shared" ref="G6:G12" si="0">TIME(10,0,0)</f>
        <v>0.41666666666666669</v>
      </c>
      <c r="H6" s="25">
        <f>TIME(15,54,5)</f>
        <v>0.66255787037037039</v>
      </c>
      <c r="I6" s="25"/>
      <c r="J6" s="25">
        <f>H6-G6</f>
        <v>0.24589120370370371</v>
      </c>
      <c r="K6" s="26">
        <f>J6*F6</f>
        <v>0.22720347222222223</v>
      </c>
      <c r="L6" s="21">
        <v>2</v>
      </c>
      <c r="M6" s="27">
        <f>TIME(10,0,0)</f>
        <v>0.41666666666666669</v>
      </c>
      <c r="N6" s="25">
        <f>TIME(13,44,40)</f>
        <v>0.57268518518518519</v>
      </c>
      <c r="O6" s="25"/>
      <c r="P6" s="25">
        <f>N6-M6</f>
        <v>0.1560185185185185</v>
      </c>
      <c r="Q6" s="25">
        <f t="shared" ref="Q6:Q12" si="1">P6*F6</f>
        <v>0.1441611111111111</v>
      </c>
      <c r="R6" s="21">
        <v>1</v>
      </c>
      <c r="S6" s="28">
        <f>TIME(10,0,0)</f>
        <v>0.41666666666666669</v>
      </c>
      <c r="T6" s="29">
        <f>TIME(13,48,32)</f>
        <v>0.57537037037037042</v>
      </c>
      <c r="V6" s="29">
        <f t="shared" ref="V6:V12" si="2">T6-S6</f>
        <v>0.15870370370370374</v>
      </c>
      <c r="W6" s="30">
        <f t="shared" ref="W6:W12" si="3">V6*F6</f>
        <v>0.14664222222222226</v>
      </c>
      <c r="X6" s="21">
        <v>4</v>
      </c>
      <c r="Y6" s="31">
        <f t="shared" ref="Y6:Y12" si="4">L6+R6+X6</f>
        <v>7</v>
      </c>
      <c r="Z6" s="32" t="s">
        <v>16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s="20" customFormat="1">
      <c r="A7" s="20" t="s">
        <v>17</v>
      </c>
      <c r="B7" s="22" t="s">
        <v>18</v>
      </c>
      <c r="C7" s="34" t="s">
        <v>19</v>
      </c>
      <c r="D7" s="20">
        <v>185</v>
      </c>
      <c r="E7" s="100">
        <v>0.94099999999999995</v>
      </c>
      <c r="F7" s="23">
        <v>0.96099999999999997</v>
      </c>
      <c r="G7" s="27">
        <f t="shared" si="0"/>
        <v>0.41666666666666669</v>
      </c>
      <c r="H7" s="25">
        <f>TIME(15,59,38)</f>
        <v>0.66641203703703711</v>
      </c>
      <c r="I7" s="25">
        <f>TIME(0,0,0)</f>
        <v>0</v>
      </c>
      <c r="J7" s="25">
        <f t="shared" ref="J7:J12" si="5">H7-G7</f>
        <v>0.24974537037037042</v>
      </c>
      <c r="K7" s="26">
        <f>J7*F7</f>
        <v>0.24000530092592598</v>
      </c>
      <c r="L7" s="21">
        <v>5</v>
      </c>
      <c r="M7" s="27">
        <f>TIME(10,14,22)</f>
        <v>0.42664351851851851</v>
      </c>
      <c r="N7" s="25">
        <f>TIME(13,57,43)</f>
        <v>0.58174768518518516</v>
      </c>
      <c r="O7" s="25"/>
      <c r="P7" s="25">
        <f t="shared" ref="P7:P12" si="6">N7-M7</f>
        <v>0.15510416666666665</v>
      </c>
      <c r="Q7" s="25">
        <f t="shared" si="1"/>
        <v>0.14905510416666665</v>
      </c>
      <c r="R7" s="21">
        <v>3</v>
      </c>
      <c r="S7" s="28">
        <f>TIME(10,14,55)</f>
        <v>0.42702546296296301</v>
      </c>
      <c r="T7" s="29">
        <f>TIME(13,52,12)</f>
        <v>0.57791666666666663</v>
      </c>
      <c r="U7" s="35">
        <f>TIME(0,0,0)</f>
        <v>0</v>
      </c>
      <c r="V7" s="29">
        <f t="shared" si="2"/>
        <v>0.15089120370370362</v>
      </c>
      <c r="W7" s="30">
        <f t="shared" si="3"/>
        <v>0.14500644675925917</v>
      </c>
      <c r="X7" s="21">
        <v>3</v>
      </c>
      <c r="Y7" s="31">
        <f t="shared" si="4"/>
        <v>11</v>
      </c>
      <c r="Z7" s="32" t="s">
        <v>21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42" s="20" customFormat="1">
      <c r="A8" s="20" t="s">
        <v>22</v>
      </c>
      <c r="B8" s="22" t="s">
        <v>23</v>
      </c>
      <c r="C8" s="34" t="s">
        <v>24</v>
      </c>
      <c r="D8" s="20" t="s">
        <v>25</v>
      </c>
      <c r="E8" s="100">
        <v>0.96</v>
      </c>
      <c r="F8" s="23">
        <v>0.97</v>
      </c>
      <c r="G8" s="27">
        <f t="shared" si="0"/>
        <v>0.41666666666666669</v>
      </c>
      <c r="H8" s="25">
        <f>TIME(15,20,36)</f>
        <v>0.63930555555555557</v>
      </c>
      <c r="I8" s="25">
        <f>TIME(0,0,0)</f>
        <v>0</v>
      </c>
      <c r="J8" s="25">
        <f t="shared" si="5"/>
        <v>0.22263888888888889</v>
      </c>
      <c r="K8" s="26">
        <f>J8*F8</f>
        <v>0.21595972222222221</v>
      </c>
      <c r="L8" s="21">
        <v>1</v>
      </c>
      <c r="M8" s="27">
        <f>TIME(10,0,0)</f>
        <v>0.41666666666666669</v>
      </c>
      <c r="N8" s="25">
        <f>TIME(13,40,36)</f>
        <v>0.56986111111111104</v>
      </c>
      <c r="O8" s="25"/>
      <c r="P8" s="25">
        <f t="shared" si="6"/>
        <v>0.15319444444444436</v>
      </c>
      <c r="Q8" s="25">
        <f t="shared" si="1"/>
        <v>0.14859861111111103</v>
      </c>
      <c r="R8" s="21">
        <v>2</v>
      </c>
      <c r="S8" s="28">
        <f>TIME(10,0,0)</f>
        <v>0.41666666666666669</v>
      </c>
      <c r="T8" s="29">
        <f>TIME(13,32,21)</f>
        <v>0.56413194444444448</v>
      </c>
      <c r="V8" s="29">
        <f t="shared" si="2"/>
        <v>0.14746527777777779</v>
      </c>
      <c r="W8" s="30">
        <f t="shared" si="3"/>
        <v>0.14304131944444445</v>
      </c>
      <c r="X8" s="21">
        <v>2</v>
      </c>
      <c r="Y8" s="31">
        <f t="shared" si="4"/>
        <v>5</v>
      </c>
      <c r="Z8" s="32" t="s">
        <v>27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s="20" customFormat="1">
      <c r="A9" s="20" t="s">
        <v>28</v>
      </c>
      <c r="B9" s="22" t="s">
        <v>29</v>
      </c>
      <c r="C9" s="34" t="s">
        <v>30</v>
      </c>
      <c r="D9" s="36" t="s">
        <v>31</v>
      </c>
      <c r="E9" s="100">
        <v>0.96199999999999997</v>
      </c>
      <c r="F9" s="37">
        <v>0.98199999999999998</v>
      </c>
      <c r="G9" s="27">
        <f t="shared" si="0"/>
        <v>0.41666666666666669</v>
      </c>
      <c r="H9" s="25">
        <f>TIME(15,44,0)</f>
        <v>0.65555555555555556</v>
      </c>
      <c r="I9" s="25">
        <f>TIME(0,0,0)</f>
        <v>0</v>
      </c>
      <c r="J9" s="25">
        <f t="shared" si="5"/>
        <v>0.23888888888888887</v>
      </c>
      <c r="K9" s="26">
        <f>J9*F9</f>
        <v>0.23458888888888887</v>
      </c>
      <c r="L9" s="21">
        <v>4</v>
      </c>
      <c r="M9" s="27">
        <f>TIME(10,0,0)</f>
        <v>0.41666666666666669</v>
      </c>
      <c r="N9" s="25">
        <f>TIME(14,9,0)</f>
        <v>0.58958333333333335</v>
      </c>
      <c r="O9" s="25"/>
      <c r="P9" s="25">
        <f t="shared" si="6"/>
        <v>0.17291666666666666</v>
      </c>
      <c r="Q9" s="25">
        <f t="shared" si="1"/>
        <v>0.16980416666666667</v>
      </c>
      <c r="R9" s="21">
        <v>6</v>
      </c>
      <c r="S9" s="28">
        <f>TIME(10,0,0)</f>
        <v>0.41666666666666669</v>
      </c>
      <c r="T9" s="29">
        <f>TIME(13,40,0)</f>
        <v>0.56944444444444442</v>
      </c>
      <c r="V9" s="29">
        <f t="shared" si="2"/>
        <v>0.15277777777777773</v>
      </c>
      <c r="W9" s="30">
        <f t="shared" si="3"/>
        <v>0.15002777777777773</v>
      </c>
      <c r="X9" s="21">
        <v>6</v>
      </c>
      <c r="Y9" s="31">
        <f t="shared" si="4"/>
        <v>16</v>
      </c>
      <c r="Z9" s="32" t="s">
        <v>32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1:42" s="20" customFormat="1">
      <c r="A10" s="20" t="s">
        <v>33</v>
      </c>
      <c r="B10" s="22" t="s">
        <v>34</v>
      </c>
      <c r="C10" s="34" t="s">
        <v>35</v>
      </c>
      <c r="D10" s="20" t="s">
        <v>36</v>
      </c>
      <c r="E10" s="100"/>
      <c r="F10" s="23">
        <v>0.9</v>
      </c>
      <c r="G10" s="39">
        <f t="shared" si="0"/>
        <v>0.41666666666666669</v>
      </c>
      <c r="H10" s="25">
        <f>TIME(16,29,30)</f>
        <v>0.68715277777777783</v>
      </c>
      <c r="I10" s="25"/>
      <c r="J10" s="25">
        <f t="shared" si="5"/>
        <v>0.27048611111111115</v>
      </c>
      <c r="K10" s="26">
        <f>J10*F10</f>
        <v>0.24343750000000003</v>
      </c>
      <c r="L10" s="40">
        <v>6</v>
      </c>
      <c r="M10" s="39">
        <f>TIME(10,0,50)</f>
        <v>0.41724537037037041</v>
      </c>
      <c r="N10" s="25">
        <f>TIME(14,2,5)</f>
        <v>0.58478009259259256</v>
      </c>
      <c r="O10" s="25"/>
      <c r="P10" s="25">
        <f t="shared" si="6"/>
        <v>0.16753472222222215</v>
      </c>
      <c r="Q10" s="25">
        <f t="shared" si="1"/>
        <v>0.15078124999999995</v>
      </c>
      <c r="R10" s="40">
        <v>4</v>
      </c>
      <c r="S10" s="28">
        <f>TIME(10,0,2)</f>
        <v>0.41668981481481482</v>
      </c>
      <c r="T10" s="29">
        <f>TIME(13,47,20)</f>
        <v>0.57453703703703707</v>
      </c>
      <c r="V10" s="29">
        <f t="shared" si="2"/>
        <v>0.15784722222222225</v>
      </c>
      <c r="W10" s="30">
        <f t="shared" si="3"/>
        <v>0.14206250000000004</v>
      </c>
      <c r="X10" s="40">
        <v>1</v>
      </c>
      <c r="Y10" s="31">
        <f t="shared" si="4"/>
        <v>11</v>
      </c>
      <c r="Z10" s="32" t="s">
        <v>21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s="20" customFormat="1">
      <c r="A11" s="20" t="s">
        <v>37</v>
      </c>
      <c r="B11" s="22" t="s">
        <v>38</v>
      </c>
      <c r="C11" s="34" t="s">
        <v>39</v>
      </c>
      <c r="D11" s="20" t="s">
        <v>40</v>
      </c>
      <c r="E11" s="100"/>
      <c r="F11" s="23">
        <v>0.86799999999999999</v>
      </c>
      <c r="G11" s="27">
        <f t="shared" si="0"/>
        <v>0.41666666666666669</v>
      </c>
      <c r="H11" s="41" t="s">
        <v>41</v>
      </c>
      <c r="I11" s="25">
        <f>TIME(0,0,0)</f>
        <v>0</v>
      </c>
      <c r="J11" s="41" t="s">
        <v>41</v>
      </c>
      <c r="K11" s="26" t="s">
        <v>41</v>
      </c>
      <c r="L11" s="40">
        <v>8</v>
      </c>
      <c r="M11" s="27">
        <f>TIME(10,0,0)</f>
        <v>0.41666666666666669</v>
      </c>
      <c r="N11" s="25">
        <f>TIME(14,45,30)</f>
        <v>0.61493055555555554</v>
      </c>
      <c r="O11" s="25"/>
      <c r="P11" s="25">
        <f t="shared" si="6"/>
        <v>0.19826388888888885</v>
      </c>
      <c r="Q11" s="25">
        <f t="shared" si="1"/>
        <v>0.17209305555555551</v>
      </c>
      <c r="R11" s="40">
        <v>7</v>
      </c>
      <c r="S11" s="28">
        <f>TIME(10,0,0)</f>
        <v>0.41666666666666669</v>
      </c>
      <c r="T11" s="29">
        <f>TIME(14,12,26)</f>
        <v>0.59196759259259257</v>
      </c>
      <c r="V11" s="29">
        <f t="shared" si="2"/>
        <v>0.17530092592592589</v>
      </c>
      <c r="W11" s="30">
        <f t="shared" si="3"/>
        <v>0.15216120370370367</v>
      </c>
      <c r="X11" s="40">
        <v>7</v>
      </c>
      <c r="Y11" s="31">
        <f t="shared" si="4"/>
        <v>22</v>
      </c>
      <c r="Z11" s="32" t="s">
        <v>42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1:42" s="20" customFormat="1" ht="14.7" thickBot="1">
      <c r="A12" s="20" t="s">
        <v>43</v>
      </c>
      <c r="B12" s="22" t="s">
        <v>44</v>
      </c>
      <c r="C12" s="42" t="s">
        <v>45</v>
      </c>
      <c r="D12" s="43" t="s">
        <v>46</v>
      </c>
      <c r="E12" s="141"/>
      <c r="F12" s="45">
        <v>0.94899999999999995</v>
      </c>
      <c r="G12" s="46">
        <f t="shared" si="0"/>
        <v>0.41666666666666669</v>
      </c>
      <c r="H12" s="47">
        <f>TIME(15,55,52)</f>
        <v>0.66379629629629633</v>
      </c>
      <c r="I12" s="47"/>
      <c r="J12" s="47">
        <f t="shared" si="5"/>
        <v>0.24712962962962964</v>
      </c>
      <c r="K12" s="48">
        <f>J12*F12</f>
        <v>0.23452601851851851</v>
      </c>
      <c r="L12" s="49">
        <v>3</v>
      </c>
      <c r="M12" s="46">
        <f>TIME(10,0,0)</f>
        <v>0.41666666666666669</v>
      </c>
      <c r="N12" s="47">
        <f>TIME(14,7,35)</f>
        <v>0.58859953703703705</v>
      </c>
      <c r="O12" s="47"/>
      <c r="P12" s="47">
        <f t="shared" si="6"/>
        <v>0.17193287037037036</v>
      </c>
      <c r="Q12" s="47">
        <f t="shared" si="1"/>
        <v>0.16316429398148147</v>
      </c>
      <c r="R12" s="49">
        <v>5</v>
      </c>
      <c r="S12" s="50">
        <f>TIME(10,0,0)</f>
        <v>0.41666666666666669</v>
      </c>
      <c r="T12" s="51">
        <f>TIME(13,43,49)</f>
        <v>0.57209490740740743</v>
      </c>
      <c r="U12" s="44"/>
      <c r="V12" s="51">
        <f t="shared" si="2"/>
        <v>0.15542824074074074</v>
      </c>
      <c r="W12" s="52">
        <f t="shared" si="3"/>
        <v>0.14750140046296295</v>
      </c>
      <c r="X12" s="49">
        <v>5</v>
      </c>
      <c r="Y12" s="53">
        <f t="shared" si="4"/>
        <v>13</v>
      </c>
      <c r="Z12" s="54" t="s">
        <v>47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s="55" customFormat="1">
      <c r="D13" s="56"/>
      <c r="E13" s="18"/>
      <c r="F13" s="18"/>
      <c r="G13" s="57"/>
      <c r="H13" s="57"/>
      <c r="I13" s="57"/>
      <c r="J13" s="57"/>
      <c r="K13" s="58"/>
      <c r="L13" s="59"/>
      <c r="M13" s="57"/>
      <c r="N13" s="57"/>
      <c r="O13" s="57"/>
      <c r="P13" s="57"/>
      <c r="Q13" s="58"/>
      <c r="R13" s="59"/>
      <c r="S13" s="57"/>
      <c r="T13" s="57"/>
      <c r="U13" s="57"/>
      <c r="V13" s="57"/>
      <c r="W13" s="58"/>
      <c r="X13" s="60"/>
      <c r="Y13" s="33"/>
      <c r="Z13" s="61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</row>
    <row r="14" spans="1:42">
      <c r="A14" s="140"/>
    </row>
  </sheetData>
  <mergeCells count="9">
    <mergeCell ref="Z3:Z5"/>
    <mergeCell ref="C3:C5"/>
    <mergeCell ref="F3:F5"/>
    <mergeCell ref="G3:L3"/>
    <mergeCell ref="M3:R3"/>
    <mergeCell ref="S3:X3"/>
    <mergeCell ref="Y3:Y5"/>
    <mergeCell ref="D3:D5"/>
    <mergeCell ref="E3:E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M6" sqref="M6"/>
    </sheetView>
  </sheetViews>
  <sheetFormatPr defaultRowHeight="14.4"/>
  <cols>
    <col min="1" max="1" width="14.3671875" customWidth="1"/>
    <col min="2" max="2" width="11.68359375" customWidth="1"/>
  </cols>
  <sheetData>
    <row r="1" spans="1:10" ht="18.3">
      <c r="A1" s="1" t="s">
        <v>48</v>
      </c>
      <c r="B1" s="2"/>
      <c r="C1" s="3"/>
      <c r="D1" s="3"/>
      <c r="H1" s="4"/>
      <c r="I1" s="5"/>
      <c r="J1" s="8"/>
    </row>
    <row r="2" spans="1:10" ht="14.7" thickBot="1">
      <c r="B2" s="2"/>
      <c r="C2" s="3"/>
      <c r="D2" s="3"/>
      <c r="H2" s="4"/>
      <c r="I2" s="5"/>
      <c r="J2" s="8"/>
    </row>
    <row r="3" spans="1:10">
      <c r="A3" s="177" t="s">
        <v>49</v>
      </c>
      <c r="B3" s="9" t="s">
        <v>4</v>
      </c>
      <c r="C3" s="10" t="s">
        <v>5</v>
      </c>
      <c r="D3" s="180" t="s">
        <v>6</v>
      </c>
      <c r="E3" s="165" t="s">
        <v>241</v>
      </c>
      <c r="F3" s="166"/>
      <c r="G3" s="166"/>
      <c r="H3" s="166"/>
      <c r="I3" s="167"/>
      <c r="J3" s="8"/>
    </row>
    <row r="4" spans="1:10">
      <c r="A4" s="178"/>
      <c r="B4" s="12"/>
      <c r="C4" s="12"/>
      <c r="D4" s="181"/>
      <c r="E4" s="183" t="s">
        <v>9</v>
      </c>
      <c r="F4" s="185" t="s">
        <v>10</v>
      </c>
      <c r="G4" s="185" t="s">
        <v>11</v>
      </c>
      <c r="H4" s="187" t="s">
        <v>12</v>
      </c>
      <c r="I4" s="189" t="s">
        <v>50</v>
      </c>
      <c r="J4" s="12"/>
    </row>
    <row r="5" spans="1:10">
      <c r="A5" s="179"/>
      <c r="B5" s="12"/>
      <c r="C5" s="12"/>
      <c r="D5" s="182"/>
      <c r="E5" s="184"/>
      <c r="F5" s="186"/>
      <c r="G5" s="186"/>
      <c r="H5" s="188"/>
      <c r="I5" s="190"/>
      <c r="J5" s="12"/>
    </row>
    <row r="6" spans="1:10" ht="43.2">
      <c r="A6" s="62" t="s">
        <v>51</v>
      </c>
      <c r="B6" s="20" t="s">
        <v>25</v>
      </c>
      <c r="C6" s="20">
        <v>0.96</v>
      </c>
      <c r="D6" s="23">
        <v>0.97</v>
      </c>
      <c r="E6" s="27">
        <f>TIME(10,0,0)</f>
        <v>0.41666666666666669</v>
      </c>
      <c r="F6" s="25">
        <f>TIME(11,34,29)</f>
        <v>0.48228009259259258</v>
      </c>
      <c r="G6" s="25">
        <f>F6-E6</f>
        <v>6.5613425925925895E-2</v>
      </c>
      <c r="H6" s="26">
        <f>G6*D6</f>
        <v>6.3645023148148114E-2</v>
      </c>
      <c r="I6" s="21" t="s">
        <v>27</v>
      </c>
      <c r="J6" s="33"/>
    </row>
    <row r="7" spans="1:10" ht="28.8">
      <c r="A7" s="62" t="s">
        <v>52</v>
      </c>
      <c r="B7" s="69" t="s">
        <v>68</v>
      </c>
      <c r="C7" s="69">
        <v>0.876</v>
      </c>
      <c r="D7" s="23">
        <v>0.92400000000000004</v>
      </c>
      <c r="E7" s="24">
        <f>TIME(10,0,0)</f>
        <v>0.41666666666666669</v>
      </c>
      <c r="F7" s="25">
        <f>TIME(11,48,10)</f>
        <v>0.49178240740740736</v>
      </c>
      <c r="G7" s="25">
        <f>F7-E7</f>
        <v>7.5115740740740677E-2</v>
      </c>
      <c r="H7" s="26">
        <f>G7*D7</f>
        <v>6.9406944444444382E-2</v>
      </c>
      <c r="I7" s="21" t="s">
        <v>16</v>
      </c>
      <c r="J7" s="33"/>
    </row>
    <row r="8" spans="1:10" ht="43.5" thickBot="1">
      <c r="A8" s="63" t="s">
        <v>53</v>
      </c>
      <c r="B8" s="64" t="s">
        <v>31</v>
      </c>
      <c r="C8" s="44">
        <v>0.96199999999999997</v>
      </c>
      <c r="D8" s="65">
        <v>0.90600000000000003</v>
      </c>
      <c r="E8" s="46">
        <f>TIME(10,0,0)</f>
        <v>0.41666666666666669</v>
      </c>
      <c r="F8" s="47">
        <f>TIME(12,5,10)</f>
        <v>0.50358796296296293</v>
      </c>
      <c r="G8" s="47">
        <f>F8-E8</f>
        <v>8.6921296296296247E-2</v>
      </c>
      <c r="H8" s="48">
        <f>G8*D8</f>
        <v>7.8750694444444408E-2</v>
      </c>
      <c r="I8" s="49" t="s">
        <v>54</v>
      </c>
      <c r="J8" s="33"/>
    </row>
    <row r="9" spans="1:10">
      <c r="A9" s="55"/>
      <c r="B9" s="56"/>
      <c r="C9" s="18"/>
      <c r="D9" s="18"/>
      <c r="E9" s="57"/>
      <c r="F9" s="57"/>
      <c r="G9" s="57"/>
      <c r="H9" s="58"/>
      <c r="I9" s="59"/>
      <c r="J9" s="57"/>
    </row>
  </sheetData>
  <mergeCells count="8">
    <mergeCell ref="A3:A5"/>
    <mergeCell ref="D3:D5"/>
    <mergeCell ref="E3:I3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P4" sqref="P4"/>
    </sheetView>
  </sheetViews>
  <sheetFormatPr defaultRowHeight="14.4"/>
  <cols>
    <col min="3" max="3" width="14.20703125" customWidth="1"/>
    <col min="4" max="4" width="12.3125" customWidth="1"/>
    <col min="7" max="7" width="12.1015625" customWidth="1"/>
    <col min="9" max="9" width="0" hidden="1" customWidth="1"/>
    <col min="10" max="10" width="11.3671875" customWidth="1"/>
    <col min="11" max="11" width="12.15625" customWidth="1"/>
  </cols>
  <sheetData>
    <row r="1" spans="1:14" ht="18.3">
      <c r="A1" s="191" t="s">
        <v>55</v>
      </c>
      <c r="B1" s="191"/>
      <c r="C1" s="191"/>
      <c r="D1" s="191"/>
      <c r="E1" s="191"/>
      <c r="F1" s="191"/>
      <c r="G1" s="191"/>
    </row>
    <row r="2" spans="1:14" ht="18.3">
      <c r="A2" s="192" t="s">
        <v>240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4" ht="43.2">
      <c r="A3" s="66" t="s">
        <v>1</v>
      </c>
      <c r="B3" s="66" t="s">
        <v>2</v>
      </c>
      <c r="C3" s="66" t="s">
        <v>3</v>
      </c>
      <c r="D3" s="66" t="s">
        <v>4</v>
      </c>
      <c r="E3" s="66" t="s">
        <v>5</v>
      </c>
      <c r="F3" s="66" t="s">
        <v>6</v>
      </c>
      <c r="G3" s="66" t="s">
        <v>56</v>
      </c>
      <c r="H3" s="18" t="s">
        <v>57</v>
      </c>
      <c r="I3" s="66" t="s">
        <v>58</v>
      </c>
      <c r="J3" s="18" t="s">
        <v>59</v>
      </c>
      <c r="K3" s="18" t="s">
        <v>60</v>
      </c>
      <c r="L3" s="66" t="s">
        <v>61</v>
      </c>
      <c r="M3" s="18" t="s">
        <v>50</v>
      </c>
    </row>
    <row r="4" spans="1:14">
      <c r="A4" s="67"/>
      <c r="B4" s="67"/>
      <c r="C4" s="67"/>
      <c r="D4" s="67"/>
      <c r="E4" s="67"/>
      <c r="F4" s="67"/>
      <c r="G4" s="66"/>
      <c r="H4" s="18"/>
      <c r="I4" s="18"/>
      <c r="J4" s="18"/>
      <c r="K4" s="18"/>
      <c r="L4" s="18"/>
      <c r="M4" s="18"/>
    </row>
    <row r="5" spans="1:14">
      <c r="A5" s="68" t="s">
        <v>14</v>
      </c>
      <c r="B5" s="69"/>
      <c r="C5" s="69"/>
      <c r="D5" s="69"/>
      <c r="E5" s="69"/>
      <c r="F5" s="69"/>
      <c r="G5" s="3"/>
    </row>
    <row r="6" spans="1:14">
      <c r="A6" s="69" t="s">
        <v>62</v>
      </c>
      <c r="B6" s="69" t="s">
        <v>63</v>
      </c>
      <c r="C6" s="69" t="s">
        <v>64</v>
      </c>
      <c r="D6" s="69">
        <v>545</v>
      </c>
      <c r="E6" s="69">
        <v>0.85899999999999999</v>
      </c>
      <c r="F6" s="69"/>
      <c r="G6" s="3" t="s">
        <v>65</v>
      </c>
      <c r="H6" s="70">
        <f t="shared" ref="H6:H14" si="0">TIME(18,40,0)</f>
        <v>0.77777777777777779</v>
      </c>
      <c r="I6" s="70">
        <f t="shared" ref="I6:I14" si="1">TIME(5,20,0)</f>
        <v>0.22222222222222221</v>
      </c>
      <c r="J6" s="71">
        <f>TIME(9,47,23)</f>
        <v>0.40790509259259261</v>
      </c>
      <c r="K6" s="70">
        <f t="shared" ref="K6:K14" si="2">J6+I6</f>
        <v>0.63012731481481477</v>
      </c>
      <c r="L6" s="70">
        <f t="shared" ref="L6:L14" si="3">K6*E6</f>
        <v>0.54127936342592586</v>
      </c>
      <c r="M6">
        <v>4</v>
      </c>
    </row>
    <row r="7" spans="1:14">
      <c r="A7" s="69" t="s">
        <v>17</v>
      </c>
      <c r="B7" s="69" t="s">
        <v>18</v>
      </c>
      <c r="C7" s="69" t="s">
        <v>19</v>
      </c>
      <c r="D7" s="69">
        <v>185</v>
      </c>
      <c r="E7" s="69">
        <v>0.94099999999999995</v>
      </c>
      <c r="F7" s="69"/>
      <c r="G7" s="7" t="s">
        <v>20</v>
      </c>
      <c r="H7" s="70">
        <f t="shared" si="0"/>
        <v>0.77777777777777779</v>
      </c>
      <c r="I7" s="70">
        <f t="shared" si="1"/>
        <v>0.22222222222222221</v>
      </c>
      <c r="J7" s="71">
        <f>TIME(9,52,24)</f>
        <v>0.41138888888888886</v>
      </c>
      <c r="K7" s="70">
        <f t="shared" si="2"/>
        <v>0.63361111111111112</v>
      </c>
      <c r="L7" s="70">
        <f t="shared" si="3"/>
        <v>0.59622805555555558</v>
      </c>
      <c r="M7" s="4">
        <v>8</v>
      </c>
      <c r="N7" s="4"/>
    </row>
    <row r="8" spans="1:14">
      <c r="A8" s="69" t="s">
        <v>66</v>
      </c>
      <c r="B8" s="69" t="s">
        <v>67</v>
      </c>
      <c r="C8" s="69" t="s">
        <v>15</v>
      </c>
      <c r="D8" s="69" t="s">
        <v>68</v>
      </c>
      <c r="E8" s="69">
        <v>0.876</v>
      </c>
      <c r="F8" s="69"/>
      <c r="G8" s="7" t="s">
        <v>20</v>
      </c>
      <c r="H8" s="70">
        <f t="shared" si="0"/>
        <v>0.77777777777777779</v>
      </c>
      <c r="I8" s="70">
        <f t="shared" si="1"/>
        <v>0.22222222222222221</v>
      </c>
      <c r="J8" s="71">
        <f>TIME(9,0,16)</f>
        <v>0.37518518518518523</v>
      </c>
      <c r="K8" s="70">
        <f t="shared" si="2"/>
        <v>0.59740740740740739</v>
      </c>
      <c r="L8" s="70">
        <f t="shared" si="3"/>
        <v>0.52332888888888884</v>
      </c>
      <c r="M8" s="4">
        <v>3</v>
      </c>
      <c r="N8" s="4"/>
    </row>
    <row r="9" spans="1:14">
      <c r="A9" s="69" t="s">
        <v>69</v>
      </c>
      <c r="B9" s="69" t="s">
        <v>23</v>
      </c>
      <c r="C9" s="69" t="s">
        <v>24</v>
      </c>
      <c r="D9" s="69" t="s">
        <v>25</v>
      </c>
      <c r="E9" s="69">
        <v>0.96</v>
      </c>
      <c r="F9" s="69"/>
      <c r="G9" s="7" t="s">
        <v>26</v>
      </c>
      <c r="H9" s="70">
        <f t="shared" si="0"/>
        <v>0.77777777777777779</v>
      </c>
      <c r="I9" s="70">
        <f t="shared" si="1"/>
        <v>0.22222222222222221</v>
      </c>
      <c r="J9" s="71">
        <f>TIME(8,52,2)</f>
        <v>0.3694675925925926</v>
      </c>
      <c r="K9" s="70">
        <f t="shared" si="2"/>
        <v>0.59168981481481486</v>
      </c>
      <c r="L9" s="70">
        <f t="shared" si="3"/>
        <v>0.56802222222222221</v>
      </c>
      <c r="M9" s="4">
        <v>6</v>
      </c>
      <c r="N9" s="4"/>
    </row>
    <row r="10" spans="1:14">
      <c r="A10" s="69" t="s">
        <v>70</v>
      </c>
      <c r="B10" s="69" t="s">
        <v>71</v>
      </c>
      <c r="C10" s="69" t="s">
        <v>72</v>
      </c>
      <c r="D10" s="69" t="s">
        <v>73</v>
      </c>
      <c r="E10" s="69">
        <v>0.995</v>
      </c>
      <c r="F10" s="69"/>
      <c r="G10" s="7" t="s">
        <v>26</v>
      </c>
      <c r="H10" s="70">
        <f t="shared" si="0"/>
        <v>0.77777777777777779</v>
      </c>
      <c r="I10" s="70">
        <f t="shared" si="1"/>
        <v>0.22222222222222221</v>
      </c>
      <c r="J10" s="72" t="s">
        <v>74</v>
      </c>
      <c r="K10" s="72" t="s">
        <v>74</v>
      </c>
      <c r="L10" s="72" t="s">
        <v>74</v>
      </c>
      <c r="M10" s="72" t="s">
        <v>74</v>
      </c>
      <c r="N10" s="4"/>
    </row>
    <row r="11" spans="1:14">
      <c r="A11" s="69" t="s">
        <v>28</v>
      </c>
      <c r="B11" s="69" t="s">
        <v>29</v>
      </c>
      <c r="C11" s="69" t="s">
        <v>30</v>
      </c>
      <c r="D11" s="69" t="s">
        <v>31</v>
      </c>
      <c r="E11" s="69">
        <v>0.96199999999999997</v>
      </c>
      <c r="F11" s="69"/>
      <c r="G11" s="7" t="s">
        <v>26</v>
      </c>
      <c r="H11" s="70">
        <f t="shared" si="0"/>
        <v>0.77777777777777779</v>
      </c>
      <c r="I11" s="70">
        <f t="shared" si="1"/>
        <v>0.22222222222222221</v>
      </c>
      <c r="J11" s="71">
        <f>TIME(9,27,0)</f>
        <v>0.39374999999999999</v>
      </c>
      <c r="K11" s="70">
        <f t="shared" si="2"/>
        <v>0.61597222222222214</v>
      </c>
      <c r="L11" s="70">
        <f t="shared" si="3"/>
        <v>0.59256527777777768</v>
      </c>
      <c r="M11" s="4">
        <v>7</v>
      </c>
      <c r="N11" s="4"/>
    </row>
    <row r="12" spans="1:14">
      <c r="A12" s="69" t="s">
        <v>75</v>
      </c>
      <c r="B12" s="69" t="s">
        <v>76</v>
      </c>
      <c r="C12" s="69" t="s">
        <v>77</v>
      </c>
      <c r="D12" s="69" t="s">
        <v>78</v>
      </c>
      <c r="E12" s="69">
        <v>1.014</v>
      </c>
      <c r="F12" s="69"/>
      <c r="G12" s="7" t="s">
        <v>26</v>
      </c>
      <c r="H12" s="70">
        <f t="shared" si="0"/>
        <v>0.77777777777777779</v>
      </c>
      <c r="I12" s="70">
        <f t="shared" si="1"/>
        <v>0.22222222222222221</v>
      </c>
      <c r="J12" s="71">
        <f>TIME(6,46,39)</f>
        <v>0.28239583333333335</v>
      </c>
      <c r="K12" s="70">
        <f t="shared" si="2"/>
        <v>0.5046180555555555</v>
      </c>
      <c r="L12" s="70">
        <f t="shared" si="3"/>
        <v>0.51168270833333329</v>
      </c>
      <c r="M12" s="4">
        <v>2</v>
      </c>
      <c r="N12" s="4"/>
    </row>
    <row r="13" spans="1:14">
      <c r="A13" s="7" t="s">
        <v>79</v>
      </c>
      <c r="B13" s="7" t="s">
        <v>80</v>
      </c>
      <c r="C13" s="7" t="s">
        <v>81</v>
      </c>
      <c r="D13" s="7" t="s">
        <v>82</v>
      </c>
      <c r="E13" s="69">
        <v>0.91700000000000004</v>
      </c>
      <c r="F13" s="7"/>
      <c r="G13" s="7" t="s">
        <v>26</v>
      </c>
      <c r="H13" s="70">
        <f t="shared" si="0"/>
        <v>0.77777777777777779</v>
      </c>
      <c r="I13" s="70">
        <f t="shared" si="1"/>
        <v>0.22222222222222221</v>
      </c>
      <c r="J13" s="71">
        <f>TIME(8,50,23)</f>
        <v>0.36832175925925931</v>
      </c>
      <c r="K13" s="70">
        <f t="shared" si="2"/>
        <v>0.59054398148148146</v>
      </c>
      <c r="L13" s="70">
        <f t="shared" si="3"/>
        <v>0.54152883101851856</v>
      </c>
      <c r="M13" s="4">
        <v>5</v>
      </c>
      <c r="N13" s="4"/>
    </row>
    <row r="14" spans="1:14">
      <c r="A14" s="7" t="s">
        <v>83</v>
      </c>
      <c r="B14" s="7" t="s">
        <v>84</v>
      </c>
      <c r="C14" s="7" t="s">
        <v>85</v>
      </c>
      <c r="D14" s="7">
        <v>50523</v>
      </c>
      <c r="E14" s="69">
        <v>1.0469999999999999</v>
      </c>
      <c r="F14" s="7"/>
      <c r="G14" s="7" t="s">
        <v>86</v>
      </c>
      <c r="H14" s="70">
        <f t="shared" si="0"/>
        <v>0.77777777777777779</v>
      </c>
      <c r="I14" s="70">
        <f t="shared" si="1"/>
        <v>0.22222222222222221</v>
      </c>
      <c r="J14" s="71">
        <f>TIME(5,55,40)</f>
        <v>0.24699074074074076</v>
      </c>
      <c r="K14" s="70">
        <f t="shared" si="2"/>
        <v>0.469212962962963</v>
      </c>
      <c r="L14" s="70">
        <f t="shared" si="3"/>
        <v>0.49126597222222224</v>
      </c>
      <c r="M14" s="4">
        <v>1</v>
      </c>
      <c r="N14" s="4"/>
    </row>
    <row r="15" spans="1:14">
      <c r="A15" s="3"/>
      <c r="B15" s="3"/>
      <c r="C15" s="3"/>
      <c r="D15" s="3"/>
      <c r="E15" s="3"/>
      <c r="F15" s="3"/>
      <c r="G15" s="3"/>
      <c r="I15" s="70"/>
      <c r="K15" s="70"/>
      <c r="L15" s="70"/>
    </row>
    <row r="16" spans="1:14">
      <c r="A16" s="18" t="s">
        <v>87</v>
      </c>
      <c r="B16" s="3"/>
      <c r="C16" s="3"/>
      <c r="D16" s="3"/>
      <c r="E16" s="3"/>
      <c r="F16" s="3"/>
      <c r="G16" s="3"/>
      <c r="I16" s="70"/>
      <c r="K16" s="70"/>
      <c r="L16" s="70"/>
    </row>
    <row r="17" spans="1:14">
      <c r="A17" s="7" t="s">
        <v>88</v>
      </c>
      <c r="B17" s="7" t="s">
        <v>89</v>
      </c>
      <c r="C17" s="7" t="s">
        <v>90</v>
      </c>
      <c r="D17" s="7" t="s">
        <v>91</v>
      </c>
      <c r="E17" s="7"/>
      <c r="F17" s="7">
        <v>0.98799999999999999</v>
      </c>
      <c r="G17" s="7" t="s">
        <v>26</v>
      </c>
      <c r="H17" s="70">
        <f t="shared" ref="H17:H33" si="4">TIME(18,30,0)</f>
        <v>0.77083333333333337</v>
      </c>
      <c r="I17" s="70">
        <f t="shared" ref="I17:I33" si="5">TIME(5,30,0)</f>
        <v>0.22916666666666666</v>
      </c>
      <c r="J17" s="71">
        <f>TIME(8,41,25)</f>
        <v>0.36209490740740741</v>
      </c>
      <c r="K17" s="70">
        <f t="shared" ref="K17:K26" si="6">J17+I17</f>
        <v>0.59126157407407409</v>
      </c>
      <c r="L17" s="70">
        <f t="shared" ref="L17:L26" si="7">K17*F17</f>
        <v>0.58416643518518518</v>
      </c>
      <c r="M17" s="4">
        <v>4</v>
      </c>
      <c r="N17" s="4"/>
    </row>
    <row r="18" spans="1:14">
      <c r="A18" s="7" t="s">
        <v>92</v>
      </c>
      <c r="B18" s="7" t="s">
        <v>93</v>
      </c>
      <c r="C18" s="7" t="s">
        <v>94</v>
      </c>
      <c r="D18" s="7" t="s">
        <v>91</v>
      </c>
      <c r="E18" s="7"/>
      <c r="F18" s="7">
        <v>0.82</v>
      </c>
      <c r="G18" s="7" t="s">
        <v>26</v>
      </c>
      <c r="H18" s="70">
        <f t="shared" si="4"/>
        <v>0.77083333333333337</v>
      </c>
      <c r="I18" s="70">
        <f t="shared" si="5"/>
        <v>0.22916666666666666</v>
      </c>
      <c r="J18" s="71">
        <f>TIME(14,50,0)</f>
        <v>0.61805555555555558</v>
      </c>
      <c r="K18" s="70">
        <f t="shared" si="6"/>
        <v>0.84722222222222221</v>
      </c>
      <c r="L18" s="70">
        <f t="shared" si="7"/>
        <v>0.69472222222222213</v>
      </c>
      <c r="M18" s="4">
        <v>16</v>
      </c>
      <c r="N18" s="4"/>
    </row>
    <row r="19" spans="1:14">
      <c r="A19" s="3" t="s">
        <v>95</v>
      </c>
      <c r="B19" s="3" t="s">
        <v>96</v>
      </c>
      <c r="C19" s="3" t="s">
        <v>97</v>
      </c>
      <c r="D19" s="3" t="s">
        <v>98</v>
      </c>
      <c r="E19" s="3"/>
      <c r="F19" s="69">
        <v>0.94699999999999995</v>
      </c>
      <c r="G19" s="3" t="s">
        <v>26</v>
      </c>
      <c r="H19" s="70">
        <f t="shared" si="4"/>
        <v>0.77083333333333337</v>
      </c>
      <c r="I19" s="70">
        <f t="shared" si="5"/>
        <v>0.22916666666666666</v>
      </c>
      <c r="J19" s="71">
        <f>TIME(10,33,28)</f>
        <v>0.43990740740740741</v>
      </c>
      <c r="K19" s="70">
        <f t="shared" si="6"/>
        <v>0.66907407407407404</v>
      </c>
      <c r="L19" s="70">
        <f t="shared" si="7"/>
        <v>0.63361314814814806</v>
      </c>
      <c r="M19">
        <v>12</v>
      </c>
    </row>
    <row r="20" spans="1:14">
      <c r="A20" s="7" t="s">
        <v>33</v>
      </c>
      <c r="B20" s="7" t="s">
        <v>34</v>
      </c>
      <c r="C20" s="7" t="s">
        <v>35</v>
      </c>
      <c r="D20" s="7" t="s">
        <v>36</v>
      </c>
      <c r="E20" s="7"/>
      <c r="F20" s="7">
        <v>0.9</v>
      </c>
      <c r="G20" s="7" t="s">
        <v>26</v>
      </c>
      <c r="H20" s="70">
        <f t="shared" si="4"/>
        <v>0.77083333333333337</v>
      </c>
      <c r="I20" s="70">
        <f t="shared" si="5"/>
        <v>0.22916666666666666</v>
      </c>
      <c r="J20" s="71">
        <f>TIME(10,30,20)</f>
        <v>0.4377314814814815</v>
      </c>
      <c r="K20" s="70">
        <f t="shared" si="6"/>
        <v>0.66689814814814818</v>
      </c>
      <c r="L20" s="70">
        <f t="shared" si="7"/>
        <v>0.60020833333333334</v>
      </c>
      <c r="M20" s="4">
        <v>7</v>
      </c>
      <c r="N20" s="4"/>
    </row>
    <row r="21" spans="1:14">
      <c r="A21" s="7" t="s">
        <v>37</v>
      </c>
      <c r="B21" s="7" t="s">
        <v>38</v>
      </c>
      <c r="C21" s="7" t="s">
        <v>39</v>
      </c>
      <c r="D21" s="7" t="s">
        <v>40</v>
      </c>
      <c r="E21" s="7"/>
      <c r="F21" s="7">
        <v>0.86799999999999999</v>
      </c>
      <c r="G21" s="7" t="s">
        <v>26</v>
      </c>
      <c r="H21" s="70">
        <f t="shared" si="4"/>
        <v>0.77083333333333337</v>
      </c>
      <c r="I21" s="70">
        <f t="shared" si="5"/>
        <v>0.22916666666666666</v>
      </c>
      <c r="J21" s="71">
        <f>TIME(10,51,40)</f>
        <v>0.45254629629629628</v>
      </c>
      <c r="K21" s="70">
        <f t="shared" si="6"/>
        <v>0.68171296296296291</v>
      </c>
      <c r="L21" s="70">
        <f t="shared" si="7"/>
        <v>0.59172685185185181</v>
      </c>
      <c r="M21" s="4">
        <v>6</v>
      </c>
      <c r="N21" s="4"/>
    </row>
    <row r="22" spans="1:14">
      <c r="A22" s="7" t="s">
        <v>99</v>
      </c>
      <c r="B22" s="7" t="s">
        <v>100</v>
      </c>
      <c r="C22" s="7" t="s">
        <v>101</v>
      </c>
      <c r="D22" s="7" t="s">
        <v>102</v>
      </c>
      <c r="E22" s="7"/>
      <c r="F22" s="7">
        <v>0.90600000000000003</v>
      </c>
      <c r="G22" s="3" t="s">
        <v>26</v>
      </c>
      <c r="H22" s="70">
        <f t="shared" si="4"/>
        <v>0.77083333333333337</v>
      </c>
      <c r="I22" s="70">
        <f t="shared" si="5"/>
        <v>0.22916666666666666</v>
      </c>
      <c r="J22" s="71">
        <f>TIME(12,31,10)</f>
        <v>0.52164351851851853</v>
      </c>
      <c r="K22" s="70">
        <f t="shared" si="6"/>
        <v>0.75081018518518516</v>
      </c>
      <c r="L22" s="70">
        <f t="shared" si="7"/>
        <v>0.68023402777777775</v>
      </c>
      <c r="M22" s="4">
        <v>15</v>
      </c>
      <c r="N22" s="4"/>
    </row>
    <row r="23" spans="1:14">
      <c r="A23" s="7" t="s">
        <v>103</v>
      </c>
      <c r="B23" s="73" t="s">
        <v>104</v>
      </c>
      <c r="C23" s="7" t="s">
        <v>105</v>
      </c>
      <c r="D23" s="7" t="s">
        <v>106</v>
      </c>
      <c r="E23" s="69"/>
      <c r="F23" s="69">
        <v>0.80600000000000005</v>
      </c>
      <c r="G23" s="7" t="s">
        <v>26</v>
      </c>
      <c r="H23" s="70">
        <f t="shared" si="4"/>
        <v>0.77083333333333337</v>
      </c>
      <c r="I23" s="70">
        <f t="shared" si="5"/>
        <v>0.22916666666666666</v>
      </c>
      <c r="J23" s="71">
        <f>TIME(12,54,25)</f>
        <v>0.53778935185185184</v>
      </c>
      <c r="K23" s="70">
        <f t="shared" si="6"/>
        <v>0.76695601851851847</v>
      </c>
      <c r="L23" s="70">
        <f t="shared" si="7"/>
        <v>0.61816655092592587</v>
      </c>
      <c r="M23" s="4">
        <v>10</v>
      </c>
      <c r="N23" s="4"/>
    </row>
    <row r="24" spans="1:14">
      <c r="A24" s="7" t="s">
        <v>43</v>
      </c>
      <c r="B24" s="7" t="s">
        <v>44</v>
      </c>
      <c r="C24" s="7" t="s">
        <v>45</v>
      </c>
      <c r="D24" s="7" t="s">
        <v>46</v>
      </c>
      <c r="E24" s="7"/>
      <c r="F24" s="7">
        <v>0.94899999999999995</v>
      </c>
      <c r="G24" s="7" t="s">
        <v>26</v>
      </c>
      <c r="H24" s="70">
        <f t="shared" si="4"/>
        <v>0.77083333333333337</v>
      </c>
      <c r="I24" s="70">
        <f t="shared" si="5"/>
        <v>0.22916666666666666</v>
      </c>
      <c r="J24" s="71">
        <f>TIME(10,11,46)</f>
        <v>0.424837962962963</v>
      </c>
      <c r="K24" s="70">
        <f t="shared" si="6"/>
        <v>0.65400462962962969</v>
      </c>
      <c r="L24" s="70">
        <f t="shared" si="7"/>
        <v>0.62065039351851858</v>
      </c>
      <c r="M24" s="4">
        <v>11</v>
      </c>
      <c r="N24" s="4"/>
    </row>
    <row r="25" spans="1:14">
      <c r="A25" s="7" t="s">
        <v>107</v>
      </c>
      <c r="B25" s="7" t="s">
        <v>108</v>
      </c>
      <c r="C25" s="7" t="s">
        <v>109</v>
      </c>
      <c r="D25" s="7" t="s">
        <v>110</v>
      </c>
      <c r="E25" s="7"/>
      <c r="F25" s="7">
        <v>0.94299999999999995</v>
      </c>
      <c r="G25" s="7" t="s">
        <v>26</v>
      </c>
      <c r="H25" s="70">
        <f t="shared" si="4"/>
        <v>0.77083333333333337</v>
      </c>
      <c r="I25" s="70">
        <f t="shared" si="5"/>
        <v>0.22916666666666666</v>
      </c>
      <c r="J25" s="71">
        <f>TIME(11,7,7)</f>
        <v>0.46327546296296296</v>
      </c>
      <c r="K25" s="70">
        <f t="shared" si="6"/>
        <v>0.69244212962962959</v>
      </c>
      <c r="L25" s="70">
        <f t="shared" si="7"/>
        <v>0.65297292824074071</v>
      </c>
      <c r="M25" s="4">
        <v>13</v>
      </c>
      <c r="N25" s="4"/>
    </row>
    <row r="26" spans="1:14">
      <c r="A26" s="7" t="s">
        <v>28</v>
      </c>
      <c r="B26" s="7" t="s">
        <v>111</v>
      </c>
      <c r="C26" s="7" t="s">
        <v>112</v>
      </c>
      <c r="D26" s="7" t="s">
        <v>113</v>
      </c>
      <c r="E26" s="7"/>
      <c r="F26" s="7">
        <v>0.92100000000000004</v>
      </c>
      <c r="G26" s="7" t="s">
        <v>26</v>
      </c>
      <c r="H26" s="70">
        <f t="shared" si="4"/>
        <v>0.77083333333333337</v>
      </c>
      <c r="I26" s="70">
        <f t="shared" si="5"/>
        <v>0.22916666666666666</v>
      </c>
      <c r="J26" s="71">
        <f>TIME(11,33,10)</f>
        <v>0.48136574074074073</v>
      </c>
      <c r="K26" s="70">
        <f t="shared" si="6"/>
        <v>0.71053240740740742</v>
      </c>
      <c r="L26" s="70">
        <f t="shared" si="7"/>
        <v>0.65440034722222229</v>
      </c>
      <c r="M26" s="4">
        <v>14</v>
      </c>
      <c r="N26" s="4"/>
    </row>
    <row r="27" spans="1:14">
      <c r="A27" s="3" t="s">
        <v>114</v>
      </c>
      <c r="B27" s="3" t="s">
        <v>115</v>
      </c>
      <c r="C27" s="3" t="s">
        <v>116</v>
      </c>
      <c r="D27" s="3" t="s">
        <v>117</v>
      </c>
      <c r="E27" s="7"/>
      <c r="F27" s="7">
        <v>0.85799999999999998</v>
      </c>
      <c r="G27" s="3" t="s">
        <v>26</v>
      </c>
      <c r="H27" s="70">
        <f t="shared" si="4"/>
        <v>0.77083333333333337</v>
      </c>
      <c r="I27" s="70">
        <f t="shared" si="5"/>
        <v>0.22916666666666666</v>
      </c>
      <c r="J27" s="72" t="s">
        <v>74</v>
      </c>
      <c r="K27" s="74" t="s">
        <v>74</v>
      </c>
      <c r="L27" s="74" t="s">
        <v>74</v>
      </c>
      <c r="M27" s="75" t="s">
        <v>74</v>
      </c>
      <c r="N27" s="4"/>
    </row>
    <row r="28" spans="1:14">
      <c r="A28" s="7" t="s">
        <v>118</v>
      </c>
      <c r="B28" s="7" t="s">
        <v>119</v>
      </c>
      <c r="C28" s="7" t="s">
        <v>120</v>
      </c>
      <c r="D28" s="7">
        <v>1108</v>
      </c>
      <c r="E28" s="7"/>
      <c r="F28" s="69">
        <v>0.93300000000000005</v>
      </c>
      <c r="G28" s="69" t="s">
        <v>86</v>
      </c>
      <c r="H28" s="70">
        <f t="shared" si="4"/>
        <v>0.77083333333333337</v>
      </c>
      <c r="I28" s="70">
        <f t="shared" si="5"/>
        <v>0.22916666666666666</v>
      </c>
      <c r="J28" s="71">
        <f>TIME(9,22,3)</f>
        <v>0.39031250000000001</v>
      </c>
      <c r="K28" s="70">
        <f t="shared" ref="K28:K33" si="8">J28+I28</f>
        <v>0.61947916666666669</v>
      </c>
      <c r="L28" s="70">
        <f t="shared" ref="L28:L33" si="9">K28*F28</f>
        <v>0.57797406250000005</v>
      </c>
      <c r="M28" s="76">
        <v>2</v>
      </c>
      <c r="N28" s="4"/>
    </row>
    <row r="29" spans="1:14">
      <c r="A29" s="69" t="s">
        <v>121</v>
      </c>
      <c r="B29" s="69" t="s">
        <v>122</v>
      </c>
      <c r="C29" s="7" t="s">
        <v>123</v>
      </c>
      <c r="D29" s="7" t="s">
        <v>124</v>
      </c>
      <c r="E29" s="7"/>
      <c r="F29" s="69">
        <v>0.94899999999999995</v>
      </c>
      <c r="G29" s="69" t="s">
        <v>20</v>
      </c>
      <c r="H29" s="70">
        <f t="shared" si="4"/>
        <v>0.77083333333333337</v>
      </c>
      <c r="I29" s="70">
        <f t="shared" si="5"/>
        <v>0.22916666666666666</v>
      </c>
      <c r="J29" s="71">
        <f>TIME(10,0,17)</f>
        <v>0.4168634259259259</v>
      </c>
      <c r="K29" s="70">
        <f t="shared" si="8"/>
        <v>0.64603009259259259</v>
      </c>
      <c r="L29" s="70">
        <f t="shared" si="9"/>
        <v>0.61308255787037036</v>
      </c>
      <c r="M29" s="4">
        <v>9</v>
      </c>
      <c r="N29" s="4"/>
    </row>
    <row r="30" spans="1:14">
      <c r="A30" s="7" t="s">
        <v>125</v>
      </c>
      <c r="B30" s="7" t="s">
        <v>126</v>
      </c>
      <c r="C30" s="7" t="s">
        <v>127</v>
      </c>
      <c r="D30" s="7" t="s">
        <v>128</v>
      </c>
      <c r="E30" s="7"/>
      <c r="F30" s="69">
        <v>0.93300000000000005</v>
      </c>
      <c r="G30" s="69" t="s">
        <v>26</v>
      </c>
      <c r="H30" s="70">
        <f t="shared" si="4"/>
        <v>0.77083333333333337</v>
      </c>
      <c r="I30" s="70">
        <f t="shared" si="5"/>
        <v>0.22916666666666666</v>
      </c>
      <c r="J30" s="71">
        <f>TIME(8,38,23)</f>
        <v>0.35998842592592589</v>
      </c>
      <c r="K30" s="70">
        <f t="shared" si="8"/>
        <v>0.58915509259259258</v>
      </c>
      <c r="L30" s="70">
        <f t="shared" si="9"/>
        <v>0.54968170138888894</v>
      </c>
      <c r="M30" s="4">
        <v>1</v>
      </c>
      <c r="N30" s="4"/>
    </row>
    <row r="31" spans="1:14">
      <c r="A31" s="3" t="s">
        <v>129</v>
      </c>
      <c r="B31" s="3" t="s">
        <v>130</v>
      </c>
      <c r="C31" s="3" t="s">
        <v>131</v>
      </c>
      <c r="D31" s="3" t="s">
        <v>132</v>
      </c>
      <c r="E31" s="7"/>
      <c r="F31" s="69">
        <v>0.93400000000000005</v>
      </c>
      <c r="G31" s="69" t="s">
        <v>26</v>
      </c>
      <c r="H31" s="70">
        <f t="shared" si="4"/>
        <v>0.77083333333333337</v>
      </c>
      <c r="I31" s="70">
        <f t="shared" si="5"/>
        <v>0.22916666666666666</v>
      </c>
      <c r="J31" s="71">
        <f>TIME(9,38,36)</f>
        <v>0.40180555555555553</v>
      </c>
      <c r="K31" s="70">
        <f t="shared" si="8"/>
        <v>0.63097222222222216</v>
      </c>
      <c r="L31" s="70">
        <f t="shared" si="9"/>
        <v>0.58932805555555556</v>
      </c>
      <c r="M31" s="4">
        <v>5</v>
      </c>
      <c r="N31" s="4"/>
    </row>
    <row r="32" spans="1:14">
      <c r="A32" s="7" t="s">
        <v>133</v>
      </c>
      <c r="B32" s="7" t="s">
        <v>134</v>
      </c>
      <c r="C32" s="7" t="s">
        <v>116</v>
      </c>
      <c r="D32" s="3" t="s">
        <v>135</v>
      </c>
      <c r="E32" s="7"/>
      <c r="F32" s="7">
        <v>0.97299999999999998</v>
      </c>
      <c r="G32" s="7" t="s">
        <v>26</v>
      </c>
      <c r="H32" s="70">
        <f t="shared" si="4"/>
        <v>0.77083333333333337</v>
      </c>
      <c r="I32" s="70">
        <f t="shared" si="5"/>
        <v>0.22916666666666666</v>
      </c>
      <c r="J32" s="71">
        <f>TIME(9,26,28)</f>
        <v>0.39337962962962963</v>
      </c>
      <c r="K32" s="70">
        <f t="shared" si="8"/>
        <v>0.62254629629629632</v>
      </c>
      <c r="L32" s="70">
        <f t="shared" si="9"/>
        <v>0.60573754629629628</v>
      </c>
      <c r="M32" s="4">
        <v>8</v>
      </c>
      <c r="N32" s="4"/>
    </row>
    <row r="33" spans="1:14">
      <c r="A33" s="7" t="s">
        <v>136</v>
      </c>
      <c r="B33" s="7" t="s">
        <v>137</v>
      </c>
      <c r="C33" s="7" t="s">
        <v>138</v>
      </c>
      <c r="D33" s="7" t="s">
        <v>139</v>
      </c>
      <c r="E33" s="7"/>
      <c r="F33" s="69">
        <v>0.93600000000000005</v>
      </c>
      <c r="G33" s="69" t="s">
        <v>26</v>
      </c>
      <c r="H33" s="70">
        <f t="shared" si="4"/>
        <v>0.77083333333333337</v>
      </c>
      <c r="I33" s="70">
        <f t="shared" si="5"/>
        <v>0.22916666666666666</v>
      </c>
      <c r="J33" s="71">
        <f>TIME(9,23,0)</f>
        <v>0.39097222222222222</v>
      </c>
      <c r="K33" s="70">
        <f t="shared" si="8"/>
        <v>0.62013888888888891</v>
      </c>
      <c r="L33" s="70">
        <f t="shared" si="9"/>
        <v>0.58045000000000002</v>
      </c>
      <c r="M33" s="4">
        <v>3</v>
      </c>
      <c r="N33" s="4"/>
    </row>
    <row r="34" spans="1:14">
      <c r="A34" s="7"/>
      <c r="B34" s="7"/>
      <c r="C34" s="7"/>
      <c r="D34" s="7"/>
      <c r="E34" s="7"/>
      <c r="F34" s="69"/>
      <c r="G34" s="69"/>
      <c r="H34" s="70"/>
      <c r="I34" s="70"/>
      <c r="J34" s="71"/>
      <c r="K34" s="70"/>
      <c r="L34" s="70"/>
      <c r="M34" s="4"/>
      <c r="N34" s="4"/>
    </row>
    <row r="35" spans="1:14">
      <c r="A35" s="7" t="s">
        <v>140</v>
      </c>
      <c r="B35" s="7" t="s">
        <v>141</v>
      </c>
      <c r="C35" s="7" t="s">
        <v>142</v>
      </c>
      <c r="D35" s="3" t="s">
        <v>143</v>
      </c>
      <c r="E35" s="7"/>
      <c r="F35" s="7">
        <v>0.93200000000000005</v>
      </c>
      <c r="G35" s="3" t="s">
        <v>26</v>
      </c>
      <c r="H35" s="70">
        <f>TIME(18,30,0)</f>
        <v>0.77083333333333337</v>
      </c>
      <c r="I35" s="70">
        <f>TIME(5,30,0)</f>
        <v>0.22916666666666666</v>
      </c>
      <c r="J35" s="71">
        <f>TIME(10,42,0)</f>
        <v>0.4458333333333333</v>
      </c>
      <c r="K35" s="70">
        <f>J35+I35</f>
        <v>0.67499999999999993</v>
      </c>
      <c r="L35" s="70">
        <f>K35*F35</f>
        <v>0.62909999999999999</v>
      </c>
      <c r="M35" s="4">
        <v>4</v>
      </c>
      <c r="N35" s="4"/>
    </row>
    <row r="36" spans="1:14">
      <c r="A36" s="7" t="s">
        <v>144</v>
      </c>
      <c r="B36" s="7" t="s">
        <v>145</v>
      </c>
      <c r="C36" s="7" t="s">
        <v>146</v>
      </c>
      <c r="D36" s="3" t="s">
        <v>143</v>
      </c>
      <c r="E36" s="7"/>
      <c r="F36" s="7">
        <v>0.92100000000000004</v>
      </c>
      <c r="G36" s="3" t="s">
        <v>26</v>
      </c>
      <c r="H36" s="70">
        <f>TIME(18,30,0)</f>
        <v>0.77083333333333337</v>
      </c>
      <c r="I36" s="70">
        <f>TIME(5,30,0)</f>
        <v>0.22916666666666666</v>
      </c>
      <c r="J36" s="71">
        <f>TIME(9,29,0)</f>
        <v>0.39513888888888887</v>
      </c>
      <c r="K36" s="70">
        <f>J36+I36</f>
        <v>0.62430555555555556</v>
      </c>
      <c r="L36" s="70">
        <f>K36*F36</f>
        <v>0.57498541666666669</v>
      </c>
      <c r="M36" s="4">
        <v>1</v>
      </c>
      <c r="N36" s="4"/>
    </row>
    <row r="37" spans="1:14">
      <c r="A37" s="7" t="s">
        <v>147</v>
      </c>
      <c r="B37" s="77" t="s">
        <v>148</v>
      </c>
      <c r="C37" s="7" t="s">
        <v>149</v>
      </c>
      <c r="D37" s="3" t="s">
        <v>143</v>
      </c>
      <c r="E37" s="7"/>
      <c r="F37" s="7">
        <v>0.86899999999999999</v>
      </c>
      <c r="G37" s="3" t="s">
        <v>26</v>
      </c>
      <c r="H37" s="70">
        <f>TIME(18,30,0)</f>
        <v>0.77083333333333337</v>
      </c>
      <c r="I37" s="70">
        <f>TIME(5,30,0)</f>
        <v>0.22916666666666666</v>
      </c>
      <c r="J37" s="71">
        <f>TIME(11,0,0)</f>
        <v>0.45833333333333331</v>
      </c>
      <c r="K37" s="70">
        <f>J37+I37</f>
        <v>0.6875</v>
      </c>
      <c r="L37" s="70">
        <f>K37*F37</f>
        <v>0.59743749999999995</v>
      </c>
      <c r="M37" s="4">
        <v>2</v>
      </c>
      <c r="N37" s="4"/>
    </row>
    <row r="38" spans="1:14">
      <c r="A38" s="3" t="s">
        <v>150</v>
      </c>
      <c r="B38" s="3" t="s">
        <v>151</v>
      </c>
      <c r="C38" s="3" t="s">
        <v>152</v>
      </c>
      <c r="D38" s="3" t="s">
        <v>143</v>
      </c>
      <c r="E38" s="3"/>
      <c r="F38" s="3">
        <v>0.879</v>
      </c>
      <c r="G38" s="3" t="s">
        <v>26</v>
      </c>
      <c r="H38" s="70">
        <f>TIME(18,30,0)</f>
        <v>0.77083333333333337</v>
      </c>
      <c r="I38" s="70">
        <f>TIME(5,30,0)</f>
        <v>0.22916666666666666</v>
      </c>
      <c r="J38" s="71">
        <f>TIME(11,40,0)</f>
        <v>0.4861111111111111</v>
      </c>
      <c r="K38" s="70">
        <f>J38+I38</f>
        <v>0.71527777777777779</v>
      </c>
      <c r="L38" s="70">
        <f>K38*F38</f>
        <v>0.62872916666666667</v>
      </c>
      <c r="M38" s="4">
        <v>3</v>
      </c>
    </row>
    <row r="39" spans="1:14">
      <c r="A39" s="3"/>
      <c r="B39" s="3"/>
      <c r="C39" s="3"/>
      <c r="D39" s="3"/>
      <c r="E39" s="3"/>
      <c r="F39" s="3"/>
      <c r="G39" s="3"/>
    </row>
  </sheetData>
  <mergeCells count="2">
    <mergeCell ref="A1:G1"/>
    <mergeCell ref="A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opLeftCell="A3" workbookViewId="0">
      <selection activeCell="A2" sqref="A2"/>
    </sheetView>
  </sheetViews>
  <sheetFormatPr defaultRowHeight="14.4"/>
  <cols>
    <col min="1" max="1" width="10.578125" customWidth="1"/>
    <col min="2" max="2" width="11.734375" customWidth="1"/>
    <col min="3" max="3" width="12.5234375" customWidth="1"/>
    <col min="4" max="4" width="17.3671875" customWidth="1"/>
    <col min="5" max="5" width="10.05078125" customWidth="1"/>
    <col min="9" max="9" width="10.83984375" customWidth="1"/>
    <col min="10" max="10" width="10.89453125" customWidth="1"/>
    <col min="11" max="11" width="12.62890625" customWidth="1"/>
  </cols>
  <sheetData>
    <row r="1" spans="1:14" ht="18.3">
      <c r="A1" s="194" t="s">
        <v>153</v>
      </c>
      <c r="B1" s="194"/>
      <c r="C1" s="194"/>
      <c r="D1" s="194"/>
      <c r="E1" s="194"/>
      <c r="F1" s="194"/>
      <c r="G1" s="194"/>
      <c r="H1" s="194"/>
      <c r="I1" s="11"/>
      <c r="J1" s="11"/>
      <c r="K1" s="11"/>
      <c r="L1" s="11"/>
      <c r="M1" s="13"/>
    </row>
    <row r="2" spans="1:14" ht="18.3">
      <c r="A2" s="142" t="s">
        <v>239</v>
      </c>
      <c r="B2" s="142"/>
      <c r="C2" s="142"/>
      <c r="D2" s="142"/>
      <c r="E2" s="142"/>
      <c r="F2" s="142"/>
      <c r="G2" s="142"/>
      <c r="H2" s="142"/>
      <c r="I2" s="11"/>
      <c r="J2" s="11"/>
      <c r="K2" s="11"/>
      <c r="L2" s="11"/>
      <c r="M2" s="143"/>
    </row>
    <row r="3" spans="1:14" ht="43.2">
      <c r="A3" s="78" t="s">
        <v>1</v>
      </c>
      <c r="B3" s="78" t="s">
        <v>2</v>
      </c>
      <c r="C3" s="78" t="s">
        <v>3</v>
      </c>
      <c r="D3" s="78" t="s">
        <v>154</v>
      </c>
      <c r="E3" s="78" t="s">
        <v>4</v>
      </c>
      <c r="F3" s="78" t="s">
        <v>5</v>
      </c>
      <c r="G3" s="78" t="s">
        <v>6</v>
      </c>
      <c r="H3" s="78" t="s">
        <v>56</v>
      </c>
      <c r="I3" s="15" t="s">
        <v>57</v>
      </c>
      <c r="J3" s="15" t="s">
        <v>59</v>
      </c>
      <c r="K3" s="15" t="s">
        <v>60</v>
      </c>
      <c r="L3" s="78" t="s">
        <v>61</v>
      </c>
      <c r="M3" s="15" t="s">
        <v>50</v>
      </c>
    </row>
    <row r="4" spans="1:14">
      <c r="A4" s="79"/>
      <c r="B4" s="79"/>
      <c r="C4" s="79"/>
      <c r="D4" s="79"/>
      <c r="E4" s="79"/>
      <c r="F4" s="79"/>
      <c r="G4" s="79"/>
      <c r="H4" s="78"/>
      <c r="I4" s="80">
        <f>TIME(10,10,0)</f>
        <v>0.4236111111111111</v>
      </c>
      <c r="J4" s="80">
        <f>TIME(17,10,0)</f>
        <v>0.71527777777777779</v>
      </c>
      <c r="K4" s="15"/>
      <c r="L4" s="15"/>
      <c r="M4" s="15"/>
    </row>
    <row r="5" spans="1:14">
      <c r="A5" s="81" t="s">
        <v>14</v>
      </c>
      <c r="B5" s="38"/>
      <c r="C5" s="38"/>
      <c r="D5" s="38"/>
      <c r="E5" s="38"/>
      <c r="F5" s="38"/>
      <c r="G5" s="38"/>
      <c r="H5" s="13"/>
      <c r="I5" s="11"/>
      <c r="J5" s="11"/>
      <c r="K5" s="11"/>
      <c r="L5" s="11"/>
      <c r="M5" s="13"/>
    </row>
    <row r="6" spans="1:14">
      <c r="A6" s="38" t="s">
        <v>62</v>
      </c>
      <c r="B6" s="38" t="s">
        <v>63</v>
      </c>
      <c r="C6" s="38" t="s">
        <v>64</v>
      </c>
      <c r="D6" s="38" t="s">
        <v>155</v>
      </c>
      <c r="E6" s="38">
        <v>545</v>
      </c>
      <c r="F6" s="38">
        <v>0.85899999999999999</v>
      </c>
      <c r="G6" s="38"/>
      <c r="H6" s="20" t="s">
        <v>86</v>
      </c>
      <c r="I6" s="80">
        <f t="shared" ref="I6:I12" si="0">TIME(10,10,0)</f>
        <v>0.4236111111111111</v>
      </c>
      <c r="J6" s="82" t="s">
        <v>156</v>
      </c>
      <c r="K6" s="83" t="s">
        <v>156</v>
      </c>
      <c r="L6" s="83" t="s">
        <v>156</v>
      </c>
      <c r="M6" s="84" t="s">
        <v>156</v>
      </c>
    </row>
    <row r="7" spans="1:14">
      <c r="A7" s="38" t="s">
        <v>22</v>
      </c>
      <c r="B7" s="38" t="s">
        <v>23</v>
      </c>
      <c r="C7" s="38" t="s">
        <v>24</v>
      </c>
      <c r="D7" s="38" t="s">
        <v>157</v>
      </c>
      <c r="E7" s="38" t="s">
        <v>25</v>
      </c>
      <c r="F7" s="38">
        <v>0.96</v>
      </c>
      <c r="G7" s="38"/>
      <c r="H7" s="20" t="s">
        <v>26</v>
      </c>
      <c r="I7" s="80">
        <f t="shared" si="0"/>
        <v>0.4236111111111111</v>
      </c>
      <c r="J7" s="80">
        <f>TIME(15,45,16)</f>
        <v>0.65643518518518518</v>
      </c>
      <c r="K7" s="83">
        <f t="shared" ref="K7:K12" si="1">J7-I7</f>
        <v>0.23282407407407407</v>
      </c>
      <c r="L7" s="83">
        <f>K7*F7</f>
        <v>0.2235111111111111</v>
      </c>
      <c r="M7" s="20">
        <v>4</v>
      </c>
      <c r="N7" s="4"/>
    </row>
    <row r="8" spans="1:14">
      <c r="A8" s="38" t="s">
        <v>70</v>
      </c>
      <c r="B8" s="38" t="s">
        <v>71</v>
      </c>
      <c r="C8" s="38" t="s">
        <v>72</v>
      </c>
      <c r="D8" s="38" t="s">
        <v>158</v>
      </c>
      <c r="E8" s="38" t="s">
        <v>73</v>
      </c>
      <c r="F8" s="38">
        <v>0.995</v>
      </c>
      <c r="G8" s="38"/>
      <c r="H8" s="20" t="s">
        <v>26</v>
      </c>
      <c r="I8" s="80">
        <f t="shared" si="0"/>
        <v>0.4236111111111111</v>
      </c>
      <c r="J8" s="83" t="s">
        <v>156</v>
      </c>
      <c r="K8" s="83" t="s">
        <v>156</v>
      </c>
      <c r="L8" s="83" t="s">
        <v>156</v>
      </c>
      <c r="M8" s="84" t="s">
        <v>156</v>
      </c>
      <c r="N8" s="4"/>
    </row>
    <row r="9" spans="1:14">
      <c r="A9" s="38" t="s">
        <v>159</v>
      </c>
      <c r="B9" s="38" t="s">
        <v>160</v>
      </c>
      <c r="C9" s="38" t="s">
        <v>161</v>
      </c>
      <c r="D9" s="38" t="s">
        <v>162</v>
      </c>
      <c r="E9" s="38" t="s">
        <v>163</v>
      </c>
      <c r="F9" s="38">
        <v>1.008</v>
      </c>
      <c r="G9" s="38"/>
      <c r="H9" s="13" t="s">
        <v>86</v>
      </c>
      <c r="I9" s="80">
        <f t="shared" si="0"/>
        <v>0.4236111111111111</v>
      </c>
      <c r="J9" s="80">
        <f>TIME(15,36,40)</f>
        <v>0.65046296296296291</v>
      </c>
      <c r="K9" s="80">
        <f t="shared" si="1"/>
        <v>0.2268518518518518</v>
      </c>
      <c r="L9" s="80">
        <f>K9*F9</f>
        <v>0.22866666666666663</v>
      </c>
      <c r="M9" s="20">
        <v>5</v>
      </c>
      <c r="N9" s="4"/>
    </row>
    <row r="10" spans="1:14">
      <c r="A10" s="38" t="s">
        <v>164</v>
      </c>
      <c r="B10" s="38" t="s">
        <v>165</v>
      </c>
      <c r="C10" s="38" t="s">
        <v>166</v>
      </c>
      <c r="D10" s="38" t="s">
        <v>167</v>
      </c>
      <c r="E10" s="38" t="s">
        <v>168</v>
      </c>
      <c r="F10" s="38">
        <v>1.07</v>
      </c>
      <c r="G10" s="38"/>
      <c r="H10" s="13" t="s">
        <v>26</v>
      </c>
      <c r="I10" s="80">
        <f t="shared" si="0"/>
        <v>0.4236111111111111</v>
      </c>
      <c r="J10" s="80">
        <f>TIME(14,16,8)</f>
        <v>0.59453703703703698</v>
      </c>
      <c r="K10" s="80">
        <f t="shared" si="1"/>
        <v>0.17092592592592587</v>
      </c>
      <c r="L10" s="80">
        <f>K10*F10</f>
        <v>0.18289074074074069</v>
      </c>
      <c r="M10" s="20">
        <v>1</v>
      </c>
      <c r="N10" s="4"/>
    </row>
    <row r="11" spans="1:14">
      <c r="A11" s="38" t="s">
        <v>169</v>
      </c>
      <c r="B11" s="38" t="s">
        <v>170</v>
      </c>
      <c r="C11" s="38" t="s">
        <v>171</v>
      </c>
      <c r="D11" s="38" t="s">
        <v>172</v>
      </c>
      <c r="E11" s="38" t="s">
        <v>173</v>
      </c>
      <c r="F11" s="38">
        <v>0.97199999999999998</v>
      </c>
      <c r="G11" s="38"/>
      <c r="H11" s="13" t="s">
        <v>26</v>
      </c>
      <c r="I11" s="80">
        <f t="shared" si="0"/>
        <v>0.4236111111111111</v>
      </c>
      <c r="J11" s="80">
        <f>TIME(15,7,11)</f>
        <v>0.62998842592592597</v>
      </c>
      <c r="K11" s="80">
        <f t="shared" si="1"/>
        <v>0.20637731481481486</v>
      </c>
      <c r="L11" s="80">
        <f>K11*F11</f>
        <v>0.20059875000000005</v>
      </c>
      <c r="M11" s="20">
        <v>3</v>
      </c>
      <c r="N11" s="4"/>
    </row>
    <row r="12" spans="1:14">
      <c r="A12" s="38" t="s">
        <v>174</v>
      </c>
      <c r="B12" s="38" t="s">
        <v>175</v>
      </c>
      <c r="C12" s="38" t="s">
        <v>176</v>
      </c>
      <c r="D12" s="38" t="s">
        <v>177</v>
      </c>
      <c r="E12" s="38" t="s">
        <v>178</v>
      </c>
      <c r="F12" s="38">
        <v>1.0149999999999999</v>
      </c>
      <c r="G12" s="38"/>
      <c r="H12" s="13" t="s">
        <v>26</v>
      </c>
      <c r="I12" s="80">
        <f t="shared" si="0"/>
        <v>0.4236111111111111</v>
      </c>
      <c r="J12" s="80">
        <f>TIME(14,53,22)</f>
        <v>0.62039351851851854</v>
      </c>
      <c r="K12" s="80">
        <f t="shared" si="1"/>
        <v>0.19678240740740743</v>
      </c>
      <c r="L12" s="80">
        <f>K12*F12</f>
        <v>0.19973414351851854</v>
      </c>
      <c r="M12" s="20">
        <v>2</v>
      </c>
      <c r="N12" s="4"/>
    </row>
    <row r="13" spans="1:14">
      <c r="A13" s="13"/>
      <c r="B13" s="13"/>
      <c r="C13" s="13"/>
      <c r="D13" s="13"/>
      <c r="E13" s="13"/>
      <c r="F13" s="13"/>
      <c r="G13" s="13"/>
      <c r="H13" s="13"/>
      <c r="I13" s="11"/>
      <c r="J13" s="11"/>
      <c r="K13" s="80"/>
      <c r="L13" s="80"/>
      <c r="M13" s="13"/>
    </row>
    <row r="14" spans="1:14">
      <c r="A14" s="15" t="s">
        <v>87</v>
      </c>
      <c r="B14" s="13"/>
      <c r="C14" s="13"/>
      <c r="D14" s="13"/>
      <c r="E14" s="13"/>
      <c r="F14" s="13"/>
      <c r="G14" s="13"/>
      <c r="H14" s="13"/>
      <c r="J14" s="11"/>
      <c r="K14" s="80"/>
      <c r="L14" s="80"/>
      <c r="M14" s="13"/>
    </row>
    <row r="15" spans="1:14">
      <c r="A15" s="20" t="s">
        <v>33</v>
      </c>
      <c r="B15" s="20" t="s">
        <v>34</v>
      </c>
      <c r="C15" s="20" t="s">
        <v>35</v>
      </c>
      <c r="D15" s="13" t="s">
        <v>179</v>
      </c>
      <c r="E15" s="20" t="s">
        <v>36</v>
      </c>
      <c r="F15" s="20"/>
      <c r="G15" s="20">
        <v>0.9</v>
      </c>
      <c r="H15" s="20" t="s">
        <v>26</v>
      </c>
      <c r="I15" s="80">
        <f t="shared" ref="I15:I22" si="2">TIME(10,10,0)</f>
        <v>0.4236111111111111</v>
      </c>
      <c r="J15" s="83" t="s">
        <v>156</v>
      </c>
      <c r="K15" s="83" t="s">
        <v>156</v>
      </c>
      <c r="L15" s="83" t="s">
        <v>156</v>
      </c>
      <c r="M15" s="84" t="s">
        <v>156</v>
      </c>
      <c r="N15" s="4"/>
    </row>
    <row r="16" spans="1:14">
      <c r="A16" s="20" t="s">
        <v>43</v>
      </c>
      <c r="B16" s="20" t="s">
        <v>44</v>
      </c>
      <c r="C16" s="20" t="s">
        <v>45</v>
      </c>
      <c r="D16" s="13" t="s">
        <v>180</v>
      </c>
      <c r="E16" s="20" t="s">
        <v>46</v>
      </c>
      <c r="F16" s="20"/>
      <c r="G16" s="20">
        <v>0.94899999999999995</v>
      </c>
      <c r="H16" s="20" t="s">
        <v>26</v>
      </c>
      <c r="I16" s="80">
        <f t="shared" si="2"/>
        <v>0.4236111111111111</v>
      </c>
      <c r="J16" s="83">
        <f>TIME(17,5,30)</f>
        <v>0.71215277777777775</v>
      </c>
      <c r="K16" s="83">
        <f>J16-I16</f>
        <v>0.28854166666666664</v>
      </c>
      <c r="L16" s="83">
        <f>K16*G16</f>
        <v>0.27382604166666663</v>
      </c>
      <c r="M16" s="85">
        <v>4</v>
      </c>
      <c r="N16" s="4"/>
    </row>
    <row r="17" spans="1:14">
      <c r="A17" s="20" t="s">
        <v>181</v>
      </c>
      <c r="B17" s="13" t="s">
        <v>182</v>
      </c>
      <c r="C17" s="13" t="s">
        <v>183</v>
      </c>
      <c r="D17" s="13" t="s">
        <v>184</v>
      </c>
      <c r="E17" s="13" t="s">
        <v>185</v>
      </c>
      <c r="F17" s="13"/>
      <c r="G17" s="13">
        <v>0.86299999999999999</v>
      </c>
      <c r="H17" s="13" t="s">
        <v>20</v>
      </c>
      <c r="I17" s="80">
        <f t="shared" si="2"/>
        <v>0.4236111111111111</v>
      </c>
      <c r="J17" s="82">
        <f>TIME(17,1,0)</f>
        <v>0.7090277777777777</v>
      </c>
      <c r="K17" s="83">
        <f>J17-I17</f>
        <v>0.2854166666666666</v>
      </c>
      <c r="L17" s="83">
        <f>K17*G17</f>
        <v>0.24631458333333328</v>
      </c>
      <c r="M17" s="85">
        <v>3</v>
      </c>
    </row>
    <row r="18" spans="1:14">
      <c r="A18" s="20" t="s">
        <v>186</v>
      </c>
      <c r="B18" s="13" t="s">
        <v>187</v>
      </c>
      <c r="C18" s="13" t="s">
        <v>188</v>
      </c>
      <c r="D18" s="13" t="s">
        <v>189</v>
      </c>
      <c r="E18" s="13">
        <v>9599</v>
      </c>
      <c r="F18" s="20"/>
      <c r="G18" s="13">
        <v>0.92100000000000004</v>
      </c>
      <c r="H18" s="13" t="s">
        <v>26</v>
      </c>
      <c r="I18" s="80">
        <f t="shared" si="2"/>
        <v>0.4236111111111111</v>
      </c>
      <c r="J18" s="82">
        <f>TIME(16,18,13)</f>
        <v>0.67931712962962953</v>
      </c>
      <c r="K18" s="83">
        <f>J18-I18</f>
        <v>0.25570601851851843</v>
      </c>
      <c r="L18" s="83">
        <f>K18*G18</f>
        <v>0.23550524305555548</v>
      </c>
      <c r="M18" s="20">
        <v>2</v>
      </c>
      <c r="N18" s="4"/>
    </row>
    <row r="19" spans="1:14">
      <c r="A19" s="20" t="s">
        <v>118</v>
      </c>
      <c r="B19" s="20" t="s">
        <v>119</v>
      </c>
      <c r="C19" s="20" t="s">
        <v>120</v>
      </c>
      <c r="D19" s="20" t="s">
        <v>190</v>
      </c>
      <c r="E19" s="20">
        <v>1108</v>
      </c>
      <c r="F19" s="20"/>
      <c r="G19" s="38">
        <v>0.93300000000000005</v>
      </c>
      <c r="H19" s="38" t="s">
        <v>86</v>
      </c>
      <c r="I19" s="80">
        <f t="shared" si="2"/>
        <v>0.4236111111111111</v>
      </c>
      <c r="J19" s="82" t="s">
        <v>156</v>
      </c>
      <c r="K19" s="83" t="s">
        <v>156</v>
      </c>
      <c r="L19" s="83" t="s">
        <v>156</v>
      </c>
      <c r="M19" s="13" t="s">
        <v>156</v>
      </c>
      <c r="N19" s="4"/>
    </row>
    <row r="20" spans="1:14">
      <c r="A20" s="13" t="s">
        <v>191</v>
      </c>
      <c r="B20" s="20" t="s">
        <v>192</v>
      </c>
      <c r="C20" s="20" t="s">
        <v>193</v>
      </c>
      <c r="D20" s="20" t="s">
        <v>194</v>
      </c>
      <c r="E20" s="20" t="s">
        <v>195</v>
      </c>
      <c r="F20" s="20"/>
      <c r="G20" s="38">
        <v>0.77400000000000002</v>
      </c>
      <c r="H20" s="38" t="s">
        <v>26</v>
      </c>
      <c r="I20" s="80">
        <f t="shared" si="2"/>
        <v>0.4236111111111111</v>
      </c>
      <c r="J20" s="82" t="s">
        <v>156</v>
      </c>
      <c r="K20" s="83" t="s">
        <v>156</v>
      </c>
      <c r="L20" s="83" t="s">
        <v>156</v>
      </c>
      <c r="M20" s="13" t="s">
        <v>156</v>
      </c>
      <c r="N20" s="4"/>
    </row>
    <row r="21" spans="1:14">
      <c r="A21" s="20" t="s">
        <v>196</v>
      </c>
      <c r="B21" s="13" t="s">
        <v>130</v>
      </c>
      <c r="C21" s="13" t="s">
        <v>197</v>
      </c>
      <c r="D21" s="13" t="s">
        <v>198</v>
      </c>
      <c r="E21" s="13" t="s">
        <v>199</v>
      </c>
      <c r="F21" s="38"/>
      <c r="G21" s="13">
        <v>0.93400000000000005</v>
      </c>
      <c r="H21" s="13" t="s">
        <v>26</v>
      </c>
      <c r="I21" s="80">
        <f t="shared" si="2"/>
        <v>0.4236111111111111</v>
      </c>
      <c r="J21" s="82" t="s">
        <v>156</v>
      </c>
      <c r="K21" s="83" t="s">
        <v>156</v>
      </c>
      <c r="L21" s="83" t="s">
        <v>156</v>
      </c>
      <c r="M21" s="13" t="s">
        <v>156</v>
      </c>
      <c r="N21" s="4"/>
    </row>
    <row r="22" spans="1:14">
      <c r="A22" s="20" t="s">
        <v>136</v>
      </c>
      <c r="B22" s="20" t="s">
        <v>137</v>
      </c>
      <c r="C22" s="20" t="s">
        <v>138</v>
      </c>
      <c r="D22" s="20" t="s">
        <v>200</v>
      </c>
      <c r="E22" s="20" t="s">
        <v>139</v>
      </c>
      <c r="F22" s="20"/>
      <c r="G22" s="38">
        <v>0.93600000000000005</v>
      </c>
      <c r="H22" s="38" t="s">
        <v>26</v>
      </c>
      <c r="I22" s="80">
        <f t="shared" si="2"/>
        <v>0.4236111111111111</v>
      </c>
      <c r="J22" s="80">
        <f>TIME(16,0,46)</f>
        <v>0.66719907407407408</v>
      </c>
      <c r="K22" s="83">
        <f>J22-I22</f>
        <v>0.24358796296296298</v>
      </c>
      <c r="L22" s="83">
        <f>K22*G22</f>
        <v>0.22799833333333336</v>
      </c>
      <c r="M22" s="20">
        <v>1</v>
      </c>
      <c r="N22" s="4"/>
    </row>
    <row r="23" spans="1:14">
      <c r="A23" s="20"/>
      <c r="B23" s="20"/>
      <c r="C23" s="20"/>
      <c r="D23" s="20"/>
      <c r="E23" s="20"/>
      <c r="F23" s="20"/>
      <c r="G23" s="20"/>
      <c r="H23" s="22"/>
      <c r="I23" s="80"/>
      <c r="J23" s="86"/>
      <c r="K23" s="80"/>
      <c r="L23" s="80"/>
      <c r="M23" s="20"/>
      <c r="N23" s="4"/>
    </row>
    <row r="24" spans="1:14">
      <c r="A24" s="3"/>
      <c r="B24" s="3"/>
      <c r="C24" s="3"/>
      <c r="D24" s="3"/>
      <c r="E24" s="3"/>
      <c r="F24" s="3"/>
      <c r="G24" s="3"/>
      <c r="H24" s="3"/>
      <c r="M24" s="3"/>
    </row>
  </sheetData>
  <mergeCells count="1">
    <mergeCell ref="A1:H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K18" sqref="K18"/>
    </sheetView>
  </sheetViews>
  <sheetFormatPr defaultRowHeight="14.4"/>
  <cols>
    <col min="1" max="1" width="11.7890625" customWidth="1"/>
    <col min="2" max="2" width="11.20703125" customWidth="1"/>
    <col min="3" max="3" width="13.83984375" customWidth="1"/>
    <col min="4" max="4" width="11.47265625" customWidth="1"/>
    <col min="9" max="9" width="8.89453125" customWidth="1"/>
    <col min="10" max="10" width="10.578125" customWidth="1"/>
    <col min="11" max="11" width="11.9453125" customWidth="1"/>
  </cols>
  <sheetData>
    <row r="1" spans="1:11" ht="18.3">
      <c r="A1" s="1" t="s">
        <v>246</v>
      </c>
    </row>
    <row r="2" spans="1:11">
      <c r="A2" s="55" t="s">
        <v>245</v>
      </c>
    </row>
    <row r="3" spans="1:11">
      <c r="A3" s="55"/>
      <c r="G3" s="195">
        <v>43394</v>
      </c>
      <c r="H3" s="195"/>
      <c r="I3" s="195"/>
      <c r="J3" s="195"/>
      <c r="K3" s="195"/>
    </row>
    <row r="4" spans="1:11" s="116" customFormat="1" ht="43.2">
      <c r="A4" s="113" t="s">
        <v>1</v>
      </c>
      <c r="B4" s="113" t="s">
        <v>2</v>
      </c>
      <c r="C4" s="113" t="s">
        <v>3</v>
      </c>
      <c r="D4" s="114" t="s">
        <v>4</v>
      </c>
      <c r="E4" s="78" t="s">
        <v>201</v>
      </c>
      <c r="F4" s="115" t="s">
        <v>56</v>
      </c>
      <c r="G4" s="114" t="s">
        <v>57</v>
      </c>
      <c r="H4" s="114" t="s">
        <v>59</v>
      </c>
      <c r="I4" s="114" t="s">
        <v>60</v>
      </c>
      <c r="J4" s="114" t="s">
        <v>202</v>
      </c>
      <c r="K4" s="78" t="s">
        <v>203</v>
      </c>
    </row>
    <row r="5" spans="1:11">
      <c r="A5" s="90" t="s">
        <v>125</v>
      </c>
      <c r="B5" s="90" t="s">
        <v>204</v>
      </c>
      <c r="C5" s="20" t="s">
        <v>205</v>
      </c>
      <c r="D5" s="20" t="s">
        <v>206</v>
      </c>
      <c r="E5" s="20">
        <v>0.93400000000000005</v>
      </c>
      <c r="F5" s="22" t="s">
        <v>26</v>
      </c>
      <c r="G5" s="91">
        <f>TIME(10,18,0)</f>
        <v>0.4291666666666667</v>
      </c>
      <c r="H5" s="80" t="s">
        <v>230</v>
      </c>
      <c r="I5" s="80" t="s">
        <v>230</v>
      </c>
      <c r="J5" s="80" t="s">
        <v>230</v>
      </c>
      <c r="K5" s="20"/>
    </row>
    <row r="6" spans="1:11">
      <c r="A6" s="90" t="s">
        <v>22</v>
      </c>
      <c r="B6" s="90" t="s">
        <v>23</v>
      </c>
      <c r="C6" s="20" t="s">
        <v>24</v>
      </c>
      <c r="D6" s="20" t="s">
        <v>25</v>
      </c>
      <c r="E6" s="20">
        <v>0.97</v>
      </c>
      <c r="F6" s="22" t="s">
        <v>26</v>
      </c>
      <c r="G6" s="91">
        <f>TIME(10,22,0)</f>
        <v>0.43194444444444446</v>
      </c>
      <c r="H6" s="91">
        <f>TIME(11,59,57)</f>
        <v>0.49996527777777783</v>
      </c>
      <c r="I6" s="91">
        <f t="shared" ref="I6:I11" si="0">H6-G6</f>
        <v>6.8020833333333364E-2</v>
      </c>
      <c r="J6" s="91">
        <f t="shared" ref="J6:J11" si="1">I6*E6</f>
        <v>6.5980208333333359E-2</v>
      </c>
      <c r="K6" s="20">
        <v>2</v>
      </c>
    </row>
    <row r="7" spans="1:11">
      <c r="A7" s="90" t="s">
        <v>75</v>
      </c>
      <c r="B7" s="90" t="s">
        <v>76</v>
      </c>
      <c r="C7" s="20" t="s">
        <v>77</v>
      </c>
      <c r="D7" s="20" t="s">
        <v>78</v>
      </c>
      <c r="E7" s="20">
        <v>1.012</v>
      </c>
      <c r="F7" s="22" t="s">
        <v>26</v>
      </c>
      <c r="G7" s="91">
        <f>TIME(10,26,0)</f>
        <v>0.43472222222222223</v>
      </c>
      <c r="H7" s="91">
        <f>TIME(11,45,20)</f>
        <v>0.48981481481481487</v>
      </c>
      <c r="I7" s="94">
        <f t="shared" si="0"/>
        <v>5.5092592592592637E-2</v>
      </c>
      <c r="J7" s="91">
        <f t="shared" si="1"/>
        <v>5.575370370370375E-2</v>
      </c>
      <c r="K7" s="20">
        <v>1</v>
      </c>
    </row>
    <row r="8" spans="1:11">
      <c r="A8" s="90" t="s">
        <v>103</v>
      </c>
      <c r="B8" s="112" t="s">
        <v>104</v>
      </c>
      <c r="C8" s="20" t="s">
        <v>105</v>
      </c>
      <c r="D8" s="20" t="s">
        <v>106</v>
      </c>
      <c r="E8" s="38">
        <v>0.80600000000000005</v>
      </c>
      <c r="F8" s="20" t="s">
        <v>26</v>
      </c>
      <c r="G8" s="101">
        <f>TIME(10,1,0)</f>
        <v>0.41736111111111113</v>
      </c>
      <c r="H8" s="91">
        <f>TIME(12,57,14)</f>
        <v>0.5397453703703704</v>
      </c>
      <c r="I8" s="91">
        <f t="shared" si="0"/>
        <v>0.12238425925925928</v>
      </c>
      <c r="J8" s="91">
        <f t="shared" si="1"/>
        <v>9.864171296296298E-2</v>
      </c>
      <c r="K8" s="20">
        <v>5</v>
      </c>
    </row>
    <row r="9" spans="1:11">
      <c r="A9" s="90" t="s">
        <v>107</v>
      </c>
      <c r="B9" s="90" t="s">
        <v>225</v>
      </c>
      <c r="C9" s="20" t="s">
        <v>226</v>
      </c>
      <c r="D9" s="20">
        <v>128</v>
      </c>
      <c r="E9" s="38">
        <v>0.79900000000000004</v>
      </c>
      <c r="F9" s="20" t="s">
        <v>26</v>
      </c>
      <c r="G9" s="101">
        <f>TIME(10,0,0)</f>
        <v>0.41666666666666669</v>
      </c>
      <c r="H9" s="91">
        <f>TIME(13,13,30)</f>
        <v>0.55104166666666665</v>
      </c>
      <c r="I9" s="91">
        <f t="shared" si="0"/>
        <v>0.13437499999999997</v>
      </c>
      <c r="J9" s="91">
        <f t="shared" si="1"/>
        <v>0.10736562499999998</v>
      </c>
      <c r="K9" s="20">
        <v>6</v>
      </c>
    </row>
    <row r="10" spans="1:11">
      <c r="A10" s="90" t="s">
        <v>43</v>
      </c>
      <c r="B10" s="90" t="s">
        <v>44</v>
      </c>
      <c r="C10" s="20" t="s">
        <v>45</v>
      </c>
      <c r="D10" s="20" t="s">
        <v>46</v>
      </c>
      <c r="E10" s="38">
        <v>0.91100000000000003</v>
      </c>
      <c r="F10" s="20" t="s">
        <v>26</v>
      </c>
      <c r="G10" s="91">
        <f>TIME(10,15,0)</f>
        <v>0.42708333333333331</v>
      </c>
      <c r="H10" s="91">
        <f>TIME(12,27,35)</f>
        <v>0.51915509259259263</v>
      </c>
      <c r="I10" s="91">
        <f t="shared" si="0"/>
        <v>9.2071759259259311E-2</v>
      </c>
      <c r="J10" s="91">
        <f t="shared" si="1"/>
        <v>8.3877372685185234E-2</v>
      </c>
      <c r="K10" s="20">
        <v>3</v>
      </c>
    </row>
    <row r="11" spans="1:11">
      <c r="A11" s="90" t="s">
        <v>186</v>
      </c>
      <c r="B11" s="90" t="s">
        <v>227</v>
      </c>
      <c r="C11" s="20" t="s">
        <v>228</v>
      </c>
      <c r="D11" s="13" t="s">
        <v>229</v>
      </c>
      <c r="E11" s="13">
        <v>1.026</v>
      </c>
      <c r="F11" s="20" t="s">
        <v>20</v>
      </c>
      <c r="G11" s="91">
        <f>TIME(10,26,0)</f>
        <v>0.43472222222222223</v>
      </c>
      <c r="H11" s="91">
        <f>TIME(12,35,20)</f>
        <v>0.52453703703703702</v>
      </c>
      <c r="I11" s="91">
        <f t="shared" si="0"/>
        <v>8.9814814814814792E-2</v>
      </c>
      <c r="J11" s="91">
        <f t="shared" si="1"/>
        <v>9.2149999999999982E-2</v>
      </c>
      <c r="K11" s="13">
        <v>4</v>
      </c>
    </row>
    <row r="14" spans="1:11">
      <c r="A14" t="s">
        <v>231</v>
      </c>
    </row>
  </sheetData>
  <mergeCells count="1">
    <mergeCell ref="G3:K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0"/>
  <sheetViews>
    <sheetView topLeftCell="V10" workbookViewId="0"/>
  </sheetViews>
  <sheetFormatPr defaultRowHeight="14.4"/>
  <cols>
    <col min="7" max="38" width="8.83984375" customWidth="1"/>
    <col min="39" max="39" width="11.3125" customWidth="1"/>
  </cols>
  <sheetData>
    <row r="1" spans="1:39" ht="20.399999999999999">
      <c r="A1" s="117" t="s">
        <v>263</v>
      </c>
      <c r="L1" s="3"/>
      <c r="M1" s="3"/>
      <c r="R1" s="3"/>
      <c r="S1" s="3"/>
      <c r="X1" s="3"/>
      <c r="Y1" s="3"/>
      <c r="AD1" s="3"/>
      <c r="AE1" s="3"/>
      <c r="AJ1" s="3"/>
      <c r="AK1" s="3"/>
      <c r="AL1" s="3"/>
      <c r="AM1" s="97"/>
    </row>
    <row r="2" spans="1:39">
      <c r="A2" s="5" t="s">
        <v>261</v>
      </c>
      <c r="L2" s="3"/>
      <c r="M2" s="3"/>
      <c r="R2" s="3"/>
      <c r="S2" s="3"/>
      <c r="T2" t="s">
        <v>233</v>
      </c>
      <c r="X2" s="3"/>
      <c r="Y2" s="3"/>
      <c r="AD2" s="3"/>
      <c r="AE2" s="3"/>
      <c r="AJ2" s="3"/>
      <c r="AK2" s="3"/>
      <c r="AL2" s="3"/>
      <c r="AM2" s="97"/>
    </row>
    <row r="3" spans="1:39">
      <c r="A3" s="144" t="s">
        <v>252</v>
      </c>
      <c r="L3" s="3"/>
      <c r="M3" s="3"/>
      <c r="R3" s="3"/>
      <c r="S3" s="3"/>
      <c r="X3" s="3"/>
      <c r="Y3" s="3"/>
      <c r="AD3" s="3"/>
      <c r="AE3" s="3"/>
      <c r="AJ3" s="3"/>
      <c r="AK3" s="3"/>
      <c r="AL3" s="3"/>
      <c r="AM3" s="97"/>
    </row>
    <row r="4" spans="1:39">
      <c r="A4" s="197" t="s">
        <v>253</v>
      </c>
      <c r="B4" s="198"/>
      <c r="C4" s="147" t="s">
        <v>254</v>
      </c>
      <c r="L4" s="3"/>
      <c r="M4" s="3"/>
      <c r="R4" s="3"/>
      <c r="S4" s="3"/>
      <c r="X4" s="3"/>
      <c r="Y4" s="3"/>
      <c r="AD4" s="3"/>
      <c r="AE4" s="3"/>
      <c r="AJ4" s="3"/>
      <c r="AK4" s="3"/>
      <c r="AL4" s="3"/>
      <c r="AM4" s="97"/>
    </row>
    <row r="5" spans="1:39">
      <c r="A5" s="197" t="s">
        <v>255</v>
      </c>
      <c r="B5" s="198"/>
      <c r="C5" s="147" t="s">
        <v>256</v>
      </c>
      <c r="L5" s="3"/>
      <c r="M5" s="3"/>
      <c r="R5" s="3"/>
      <c r="S5" s="3"/>
      <c r="X5" s="3"/>
      <c r="Y5" s="3"/>
      <c r="AD5" s="3"/>
      <c r="AE5" s="3"/>
      <c r="AJ5" s="3"/>
      <c r="AK5" s="3"/>
      <c r="AL5" s="3"/>
      <c r="AM5" s="97"/>
    </row>
    <row r="6" spans="1:39">
      <c r="A6" s="197" t="s">
        <v>257</v>
      </c>
      <c r="B6" s="198"/>
      <c r="C6" s="147" t="s">
        <v>258</v>
      </c>
      <c r="L6" s="3"/>
      <c r="M6" s="3"/>
      <c r="R6" s="3"/>
      <c r="S6" s="3"/>
      <c r="X6" s="3"/>
      <c r="Y6" s="3"/>
      <c r="AD6" s="3"/>
      <c r="AE6" s="3"/>
      <c r="AJ6" s="3"/>
      <c r="AK6" s="3"/>
      <c r="AL6" s="3"/>
      <c r="AM6" s="97"/>
    </row>
    <row r="7" spans="1:39">
      <c r="A7" s="197" t="s">
        <v>259</v>
      </c>
      <c r="B7" s="198"/>
      <c r="C7" s="147" t="s">
        <v>260</v>
      </c>
      <c r="L7" s="3"/>
      <c r="M7" s="3"/>
      <c r="R7" s="3"/>
      <c r="S7" s="3"/>
      <c r="X7" s="3"/>
      <c r="Y7" s="3"/>
      <c r="AD7" s="3"/>
      <c r="AE7" s="3"/>
      <c r="AJ7" s="3"/>
      <c r="AK7" s="3"/>
      <c r="AL7" s="3"/>
      <c r="AM7" s="97"/>
    </row>
    <row r="8" spans="1:39">
      <c r="A8" s="149"/>
      <c r="B8" s="150"/>
      <c r="C8" s="147"/>
      <c r="L8" s="3"/>
      <c r="M8" s="3"/>
      <c r="R8" s="3"/>
      <c r="S8" s="3"/>
      <c r="X8" s="3"/>
      <c r="Y8" s="3"/>
      <c r="AD8" s="3"/>
      <c r="AE8" s="3"/>
      <c r="AJ8" s="3"/>
      <c r="AK8" s="3"/>
      <c r="AL8" s="3"/>
      <c r="AM8" s="97"/>
    </row>
    <row r="9" spans="1:39">
      <c r="A9" s="55"/>
      <c r="H9" s="196" t="s">
        <v>247</v>
      </c>
      <c r="I9" s="196"/>
      <c r="J9" s="196"/>
      <c r="K9" s="196"/>
      <c r="L9" s="196"/>
      <c r="M9" s="196"/>
      <c r="N9" s="196" t="s">
        <v>248</v>
      </c>
      <c r="O9" s="196"/>
      <c r="P9" s="196"/>
      <c r="Q9" s="196"/>
      <c r="R9" s="196"/>
      <c r="S9" s="196"/>
      <c r="T9" s="196" t="s">
        <v>249</v>
      </c>
      <c r="U9" s="196"/>
      <c r="V9" s="196"/>
      <c r="W9" s="196"/>
      <c r="X9" s="196"/>
      <c r="Y9" s="196"/>
      <c r="Z9" s="196" t="s">
        <v>250</v>
      </c>
      <c r="AA9" s="196"/>
      <c r="AB9" s="196"/>
      <c r="AC9" s="196"/>
      <c r="AD9" s="196"/>
      <c r="AE9" s="196"/>
      <c r="AF9" s="196" t="s">
        <v>251</v>
      </c>
      <c r="AG9" s="196"/>
      <c r="AH9" s="196"/>
      <c r="AI9" s="196"/>
      <c r="AJ9" s="196"/>
      <c r="AK9" s="196"/>
      <c r="AL9" s="196"/>
      <c r="AM9" s="97"/>
    </row>
    <row r="10" spans="1:39" ht="54.9">
      <c r="A10" s="151" t="s">
        <v>1</v>
      </c>
      <c r="B10" s="151" t="s">
        <v>2</v>
      </c>
      <c r="C10" s="151" t="s">
        <v>3</v>
      </c>
      <c r="D10" s="151" t="s">
        <v>4</v>
      </c>
      <c r="E10" s="151" t="s">
        <v>5</v>
      </c>
      <c r="F10" s="151" t="s">
        <v>201</v>
      </c>
      <c r="G10" s="118" t="s">
        <v>56</v>
      </c>
      <c r="H10" s="151" t="s">
        <v>57</v>
      </c>
      <c r="I10" s="151" t="s">
        <v>59</v>
      </c>
      <c r="J10" s="151" t="s">
        <v>60</v>
      </c>
      <c r="K10" s="151" t="s">
        <v>202</v>
      </c>
      <c r="L10" s="151" t="s">
        <v>203</v>
      </c>
      <c r="M10" s="151" t="s">
        <v>7</v>
      </c>
      <c r="N10" s="151" t="s">
        <v>57</v>
      </c>
      <c r="O10" s="151" t="s">
        <v>59</v>
      </c>
      <c r="P10" s="151" t="s">
        <v>60</v>
      </c>
      <c r="Q10" s="151" t="s">
        <v>202</v>
      </c>
      <c r="R10" s="151" t="s">
        <v>203</v>
      </c>
      <c r="S10" s="151" t="s">
        <v>7</v>
      </c>
      <c r="T10" s="151" t="s">
        <v>57</v>
      </c>
      <c r="U10" s="151" t="s">
        <v>59</v>
      </c>
      <c r="V10" s="151" t="s">
        <v>60</v>
      </c>
      <c r="W10" s="151" t="s">
        <v>202</v>
      </c>
      <c r="X10" s="151" t="s">
        <v>203</v>
      </c>
      <c r="Y10" s="151" t="s">
        <v>7</v>
      </c>
      <c r="Z10" s="151" t="s">
        <v>57</v>
      </c>
      <c r="AA10" s="151" t="s">
        <v>59</v>
      </c>
      <c r="AB10" s="151" t="s">
        <v>60</v>
      </c>
      <c r="AC10" s="151" t="s">
        <v>202</v>
      </c>
      <c r="AD10" s="151" t="s">
        <v>203</v>
      </c>
      <c r="AE10" s="151" t="s">
        <v>7</v>
      </c>
      <c r="AF10" s="151" t="s">
        <v>57</v>
      </c>
      <c r="AG10" s="151" t="s">
        <v>59</v>
      </c>
      <c r="AH10" s="151" t="s">
        <v>60</v>
      </c>
      <c r="AI10" s="151" t="s">
        <v>202</v>
      </c>
      <c r="AJ10" s="151" t="s">
        <v>203</v>
      </c>
      <c r="AK10" s="151" t="s">
        <v>7</v>
      </c>
      <c r="AL10" s="119" t="s">
        <v>234</v>
      </c>
      <c r="AM10" s="120" t="s">
        <v>235</v>
      </c>
    </row>
    <row r="11" spans="1:39">
      <c r="A11" s="87" t="s">
        <v>14</v>
      </c>
      <c r="B11" s="11"/>
      <c r="C11" s="11"/>
      <c r="D11" s="88"/>
      <c r="E11" s="148"/>
      <c r="F11" s="148"/>
      <c r="G11" s="89"/>
      <c r="H11" s="11"/>
      <c r="I11" s="11"/>
      <c r="J11" s="11"/>
      <c r="K11" s="11"/>
      <c r="L11" s="148"/>
      <c r="M11" s="148"/>
      <c r="N11" s="11"/>
      <c r="O11" s="11"/>
      <c r="P11" s="11"/>
      <c r="Q11" s="11"/>
      <c r="R11" s="148"/>
      <c r="S11" s="148"/>
      <c r="T11" s="11"/>
      <c r="U11" s="11"/>
      <c r="V11" s="11"/>
      <c r="W11" s="11"/>
      <c r="X11" s="148"/>
      <c r="Y11" s="148"/>
      <c r="Z11" s="11"/>
      <c r="AA11" s="11"/>
      <c r="AB11" s="11"/>
      <c r="AC11" s="11"/>
      <c r="AD11" s="148"/>
      <c r="AE11" s="148"/>
      <c r="AF11" s="11"/>
      <c r="AG11" s="11"/>
      <c r="AH11" s="11"/>
      <c r="AI11" s="11"/>
      <c r="AJ11" s="148"/>
      <c r="AK11" s="148"/>
      <c r="AL11" s="121"/>
      <c r="AM11" s="122"/>
    </row>
    <row r="12" spans="1:39">
      <c r="A12" s="90" t="s">
        <v>125</v>
      </c>
      <c r="B12" s="90" t="s">
        <v>204</v>
      </c>
      <c r="C12" s="20" t="s">
        <v>205</v>
      </c>
      <c r="D12" s="20" t="s">
        <v>206</v>
      </c>
      <c r="E12" s="100">
        <v>0.86899999999999999</v>
      </c>
      <c r="F12" s="38">
        <v>0.93400000000000005</v>
      </c>
      <c r="G12" s="22" t="s">
        <v>26</v>
      </c>
      <c r="H12" s="91">
        <f>TIME(10,0,0)</f>
        <v>0.41666666666666669</v>
      </c>
      <c r="I12" s="91">
        <f>TIME(12,6,39)</f>
        <v>0.50461805555555561</v>
      </c>
      <c r="J12" s="91">
        <f>I12-H12</f>
        <v>8.7951388888888926E-2</v>
      </c>
      <c r="K12" s="91">
        <f>J12*F12</f>
        <v>8.2146597222222256E-2</v>
      </c>
      <c r="L12" s="38">
        <v>5</v>
      </c>
      <c r="M12" s="38">
        <v>5</v>
      </c>
      <c r="N12" s="91">
        <f>TIME(10,0,0)</f>
        <v>0.41666666666666669</v>
      </c>
      <c r="O12" s="91">
        <f>TIME(11,57,35)</f>
        <v>0.49832175925925926</v>
      </c>
      <c r="P12" s="91">
        <f t="shared" ref="P12:P18" si="0">O12-N12</f>
        <v>8.1655092592592571E-2</v>
      </c>
      <c r="Q12" s="91">
        <f>P12*F12</f>
        <v>7.6265856481481459E-2</v>
      </c>
      <c r="R12" s="38">
        <v>5</v>
      </c>
      <c r="S12" s="20">
        <v>5</v>
      </c>
      <c r="T12" s="91">
        <f t="shared" ref="T12:T18" si="1">TIME(10,0,0)</f>
        <v>0.41666666666666669</v>
      </c>
      <c r="U12" s="91">
        <f>TIME(12,1,42)</f>
        <v>0.50118055555555563</v>
      </c>
      <c r="V12" s="91">
        <f t="shared" ref="V12:V18" si="2">U12-T12</f>
        <v>8.4513888888888944E-2</v>
      </c>
      <c r="W12" s="91">
        <f>V12*F12</f>
        <v>7.8935972222222275E-2</v>
      </c>
      <c r="X12" s="20">
        <v>5</v>
      </c>
      <c r="Y12" s="20">
        <v>5</v>
      </c>
      <c r="Z12" s="91">
        <f t="shared" ref="Z12:Z18" si="3">TIME(10,0,0)</f>
        <v>0.41666666666666669</v>
      </c>
      <c r="AA12" s="91">
        <f>TIME(12,49,20)</f>
        <v>0.53425925925925932</v>
      </c>
      <c r="AB12" s="91">
        <f>AA12-Z12</f>
        <v>0.11759259259259264</v>
      </c>
      <c r="AC12" s="91">
        <f>AB12*F12</f>
        <v>0.10983148148148153</v>
      </c>
      <c r="AD12" s="20">
        <v>3</v>
      </c>
      <c r="AE12" s="20">
        <v>3</v>
      </c>
      <c r="AF12" s="91">
        <f t="shared" ref="AF12:AF30" si="4">TIME(10,0,0)</f>
        <v>0.41666666666666669</v>
      </c>
      <c r="AG12" s="91">
        <f>TIME(11,38,40)</f>
        <v>0.48518518518518516</v>
      </c>
      <c r="AH12" s="91">
        <f>AG12-AF12</f>
        <v>6.8518518518518479E-2</v>
      </c>
      <c r="AI12" s="91">
        <f>AH12*F12</f>
        <v>6.3996296296296259E-2</v>
      </c>
      <c r="AJ12" s="20">
        <v>8</v>
      </c>
      <c r="AK12" s="20">
        <v>8</v>
      </c>
      <c r="AL12" s="22">
        <f t="shared" ref="AL12:AL30" si="5">M12+S12+Y12+AE12+AK12</f>
        <v>26</v>
      </c>
      <c r="AM12" s="122">
        <v>4</v>
      </c>
    </row>
    <row r="13" spans="1:39">
      <c r="A13" s="92" t="s">
        <v>62</v>
      </c>
      <c r="B13" s="92" t="s">
        <v>63</v>
      </c>
      <c r="C13" s="38" t="s">
        <v>64</v>
      </c>
      <c r="D13" s="38">
        <v>545</v>
      </c>
      <c r="E13" s="100">
        <v>0.85899999999999999</v>
      </c>
      <c r="F13" s="38">
        <v>0.86599999999999999</v>
      </c>
      <c r="G13" s="38" t="s">
        <v>86</v>
      </c>
      <c r="H13" s="91">
        <f t="shared" ref="H13:H18" si="6">TIME(10,0,0)</f>
        <v>0.41666666666666669</v>
      </c>
      <c r="I13" s="91">
        <f>TIME(12,22,20)</f>
        <v>0.51550925925925928</v>
      </c>
      <c r="J13" s="91">
        <f t="shared" ref="J13:J27" si="7">I13-H13</f>
        <v>9.8842592592592593E-2</v>
      </c>
      <c r="K13" s="91">
        <f t="shared" ref="K13:K29" si="8">J13*F13</f>
        <v>8.5597685185185179E-2</v>
      </c>
      <c r="L13" s="38">
        <v>7</v>
      </c>
      <c r="M13" s="38">
        <v>7</v>
      </c>
      <c r="N13" s="83" t="s">
        <v>214</v>
      </c>
      <c r="O13" s="83" t="s">
        <v>214</v>
      </c>
      <c r="P13" s="83" t="s">
        <v>214</v>
      </c>
      <c r="Q13" s="83" t="s">
        <v>214</v>
      </c>
      <c r="R13" s="38" t="s">
        <v>214</v>
      </c>
      <c r="S13" s="38">
        <v>20</v>
      </c>
      <c r="T13" s="91">
        <f t="shared" si="1"/>
        <v>0.41666666666666669</v>
      </c>
      <c r="U13" s="83" t="s">
        <v>156</v>
      </c>
      <c r="V13" s="83" t="s">
        <v>156</v>
      </c>
      <c r="W13" s="83" t="s">
        <v>156</v>
      </c>
      <c r="X13" s="38" t="s">
        <v>156</v>
      </c>
      <c r="Y13" s="38">
        <v>14</v>
      </c>
      <c r="Z13" s="91">
        <f t="shared" si="3"/>
        <v>0.41666666666666669</v>
      </c>
      <c r="AA13" s="91">
        <f>TIME(13,11,30)</f>
        <v>0.54965277777777777</v>
      </c>
      <c r="AB13" s="91">
        <f>AA13-Z13</f>
        <v>0.13298611111111108</v>
      </c>
      <c r="AC13" s="91">
        <f t="shared" ref="AC13:AC29" si="9">AB13*F13</f>
        <v>0.11516597222222219</v>
      </c>
      <c r="AD13" s="38">
        <v>5</v>
      </c>
      <c r="AE13" s="38">
        <v>5</v>
      </c>
      <c r="AF13" s="124" t="s">
        <v>214</v>
      </c>
      <c r="AG13" s="124" t="s">
        <v>214</v>
      </c>
      <c r="AH13" s="124" t="s">
        <v>214</v>
      </c>
      <c r="AI13" s="83" t="s">
        <v>214</v>
      </c>
      <c r="AJ13" s="38" t="s">
        <v>214</v>
      </c>
      <c r="AK13" s="38">
        <v>20</v>
      </c>
      <c r="AL13" s="22">
        <f t="shared" si="5"/>
        <v>66</v>
      </c>
      <c r="AM13" s="122">
        <v>12</v>
      </c>
    </row>
    <row r="14" spans="1:39">
      <c r="A14" s="90" t="s">
        <v>17</v>
      </c>
      <c r="B14" s="90" t="s">
        <v>18</v>
      </c>
      <c r="C14" s="20" t="s">
        <v>19</v>
      </c>
      <c r="D14" s="20">
        <v>185</v>
      </c>
      <c r="E14" s="100">
        <v>0.94099999999999995</v>
      </c>
      <c r="F14" s="38">
        <v>0.96099999999999997</v>
      </c>
      <c r="G14" s="22" t="s">
        <v>20</v>
      </c>
      <c r="H14" s="91">
        <f t="shared" si="6"/>
        <v>0.41666666666666669</v>
      </c>
      <c r="I14" s="91">
        <f>TIME(12,32,22)</f>
        <v>0.52247685185185189</v>
      </c>
      <c r="J14" s="91">
        <f t="shared" si="7"/>
        <v>0.1058101851851852</v>
      </c>
      <c r="K14" s="91">
        <f t="shared" si="8"/>
        <v>0.10168358796296298</v>
      </c>
      <c r="L14" s="38">
        <v>13</v>
      </c>
      <c r="M14" s="38">
        <v>13</v>
      </c>
      <c r="N14" s="91">
        <f>TIME(10,0,0)</f>
        <v>0.41666666666666669</v>
      </c>
      <c r="O14" s="91">
        <f>TIME(12,20,2)</f>
        <v>0.51391203703703703</v>
      </c>
      <c r="P14" s="91">
        <f t="shared" si="0"/>
        <v>9.7245370370370343E-2</v>
      </c>
      <c r="Q14" s="91">
        <f t="shared" ref="Q14:Q30" si="10">P14*F14</f>
        <v>9.3452800925925894E-2</v>
      </c>
      <c r="R14" s="38">
        <v>10</v>
      </c>
      <c r="S14" s="20">
        <v>10</v>
      </c>
      <c r="T14" s="91">
        <f t="shared" si="1"/>
        <v>0.41666666666666669</v>
      </c>
      <c r="U14" s="91">
        <f>TIME(12,21,15)</f>
        <v>0.51475694444444442</v>
      </c>
      <c r="V14" s="91">
        <f t="shared" si="2"/>
        <v>9.8090277777777735E-2</v>
      </c>
      <c r="W14" s="91">
        <f t="shared" ref="W14:W30" si="11">V14*F14</f>
        <v>9.4264756944444403E-2</v>
      </c>
      <c r="X14" s="20">
        <v>11</v>
      </c>
      <c r="Y14" s="20">
        <v>11</v>
      </c>
      <c r="Z14" s="91">
        <f t="shared" si="3"/>
        <v>0.41666666666666669</v>
      </c>
      <c r="AA14" s="91">
        <f>TIME(13,21,8)</f>
        <v>0.55634259259259256</v>
      </c>
      <c r="AB14" s="91">
        <f>AA14-Z14</f>
        <v>0.13967592592592587</v>
      </c>
      <c r="AC14" s="91">
        <f t="shared" si="9"/>
        <v>0.13422856481481477</v>
      </c>
      <c r="AD14" s="20">
        <v>10</v>
      </c>
      <c r="AE14" s="20">
        <v>10</v>
      </c>
      <c r="AF14" s="91">
        <f t="shared" si="4"/>
        <v>0.41666666666666669</v>
      </c>
      <c r="AG14" s="91">
        <f>TIME(11,47,2)</f>
        <v>0.49099537037037039</v>
      </c>
      <c r="AH14" s="91">
        <f t="shared" ref="AH14:AH30" si="12">AG14-AF14</f>
        <v>7.4328703703703702E-2</v>
      </c>
      <c r="AI14" s="91">
        <f t="shared" ref="AI14:AI30" si="13">AH14*F14</f>
        <v>7.1429884259259252E-2</v>
      </c>
      <c r="AJ14" s="20">
        <v>10</v>
      </c>
      <c r="AK14" s="20">
        <v>10</v>
      </c>
      <c r="AL14" s="22">
        <f t="shared" si="5"/>
        <v>54</v>
      </c>
      <c r="AM14" s="122">
        <v>9</v>
      </c>
    </row>
    <row r="15" spans="1:39">
      <c r="A15" s="90" t="s">
        <v>66</v>
      </c>
      <c r="B15" s="90" t="s">
        <v>67</v>
      </c>
      <c r="C15" s="20" t="s">
        <v>15</v>
      </c>
      <c r="D15" s="20" t="s">
        <v>68</v>
      </c>
      <c r="E15" s="100">
        <v>0.876</v>
      </c>
      <c r="F15" s="38">
        <v>0.92400000000000004</v>
      </c>
      <c r="G15" s="22" t="s">
        <v>20</v>
      </c>
      <c r="H15" s="91">
        <f t="shared" si="6"/>
        <v>0.41666666666666669</v>
      </c>
      <c r="I15" s="91">
        <f>TIME(12,13,3)</f>
        <v>0.50906249999999997</v>
      </c>
      <c r="J15" s="91">
        <f t="shared" si="7"/>
        <v>9.2395833333333288E-2</v>
      </c>
      <c r="K15" s="91">
        <f t="shared" si="8"/>
        <v>8.5373749999999957E-2</v>
      </c>
      <c r="L15" s="38">
        <v>6</v>
      </c>
      <c r="M15" s="38">
        <v>6</v>
      </c>
      <c r="N15" s="91">
        <f>TIME(10,0,0)</f>
        <v>0.41666666666666669</v>
      </c>
      <c r="O15" s="91">
        <f>TIME(11,58,7)</f>
        <v>0.49869212962962961</v>
      </c>
      <c r="P15" s="91">
        <f t="shared" si="0"/>
        <v>8.2025462962962925E-2</v>
      </c>
      <c r="Q15" s="91">
        <f t="shared" si="10"/>
        <v>7.5791527777777742E-2</v>
      </c>
      <c r="R15" s="38">
        <v>4</v>
      </c>
      <c r="S15" s="20">
        <v>4</v>
      </c>
      <c r="T15" s="91">
        <f t="shared" si="1"/>
        <v>0.41666666666666669</v>
      </c>
      <c r="U15" s="91">
        <f>TIME(12,6,29)</f>
        <v>0.50450231481481478</v>
      </c>
      <c r="V15" s="91">
        <f t="shared" si="2"/>
        <v>8.7835648148148093E-2</v>
      </c>
      <c r="W15" s="91">
        <f t="shared" si="11"/>
        <v>8.1160138888888844E-2</v>
      </c>
      <c r="X15" s="20">
        <v>6</v>
      </c>
      <c r="Y15" s="20">
        <v>6</v>
      </c>
      <c r="Z15" s="91">
        <f t="shared" si="3"/>
        <v>0.41666666666666669</v>
      </c>
      <c r="AA15" s="91">
        <f>TIME(13,8,37)</f>
        <v>0.54765046296296294</v>
      </c>
      <c r="AB15" s="91">
        <f>AA15-Z15</f>
        <v>0.13098379629629625</v>
      </c>
      <c r="AC15" s="91">
        <f t="shared" si="9"/>
        <v>0.12102902777777774</v>
      </c>
      <c r="AD15" s="38">
        <v>6</v>
      </c>
      <c r="AE15" s="38">
        <v>6</v>
      </c>
      <c r="AF15" s="91">
        <f t="shared" si="4"/>
        <v>0.41666666666666669</v>
      </c>
      <c r="AG15" s="91">
        <f>TIME(11,38,8)</f>
        <v>0.48481481481481481</v>
      </c>
      <c r="AH15" s="91">
        <f t="shared" si="12"/>
        <v>6.8148148148148124E-2</v>
      </c>
      <c r="AI15" s="91">
        <f t="shared" si="13"/>
        <v>6.2968888888888866E-2</v>
      </c>
      <c r="AJ15" s="20">
        <v>6</v>
      </c>
      <c r="AK15" s="20">
        <v>6</v>
      </c>
      <c r="AL15" s="22">
        <f t="shared" si="5"/>
        <v>28</v>
      </c>
      <c r="AM15" s="122">
        <v>5</v>
      </c>
    </row>
    <row r="16" spans="1:39">
      <c r="A16" s="90" t="s">
        <v>22</v>
      </c>
      <c r="B16" s="90" t="s">
        <v>23</v>
      </c>
      <c r="C16" s="20" t="s">
        <v>24</v>
      </c>
      <c r="D16" s="20" t="s">
        <v>25</v>
      </c>
      <c r="E16" s="100">
        <v>0.96</v>
      </c>
      <c r="F16" s="38">
        <v>0.97</v>
      </c>
      <c r="G16" s="22" t="s">
        <v>26</v>
      </c>
      <c r="H16" s="91">
        <f t="shared" si="6"/>
        <v>0.41666666666666669</v>
      </c>
      <c r="I16" s="91">
        <f>TIME(11,52,6)</f>
        <v>0.49451388888888892</v>
      </c>
      <c r="J16" s="91">
        <f t="shared" si="7"/>
        <v>7.7847222222222234E-2</v>
      </c>
      <c r="K16" s="91">
        <f t="shared" si="8"/>
        <v>7.5511805555555561E-2</v>
      </c>
      <c r="L16" s="38">
        <v>3</v>
      </c>
      <c r="M16" s="38">
        <v>3</v>
      </c>
      <c r="N16" s="91">
        <f>TIME(10,0,0)</f>
        <v>0.41666666666666669</v>
      </c>
      <c r="O16" s="91">
        <f>TIME(11,44,30)</f>
        <v>0.48923611111111115</v>
      </c>
      <c r="P16" s="91">
        <f t="shared" si="0"/>
        <v>7.2569444444444464E-2</v>
      </c>
      <c r="Q16" s="91">
        <f t="shared" si="10"/>
        <v>7.0392361111111135E-2</v>
      </c>
      <c r="R16" s="38">
        <v>1</v>
      </c>
      <c r="S16" s="20">
        <v>1</v>
      </c>
      <c r="T16" s="91">
        <f t="shared" si="1"/>
        <v>0.41666666666666669</v>
      </c>
      <c r="U16" s="91">
        <f>TIME(11,45,48)</f>
        <v>0.4901388888888889</v>
      </c>
      <c r="V16" s="91">
        <f t="shared" si="2"/>
        <v>7.3472222222222217E-2</v>
      </c>
      <c r="W16" s="91">
        <f t="shared" si="11"/>
        <v>7.1268055555555543E-2</v>
      </c>
      <c r="X16" s="20">
        <v>1</v>
      </c>
      <c r="Y16" s="20">
        <v>1</v>
      </c>
      <c r="Z16" s="91">
        <f t="shared" si="3"/>
        <v>0.41666666666666669</v>
      </c>
      <c r="AA16" s="91">
        <f>TIME(12,41,40)</f>
        <v>0.52893518518518523</v>
      </c>
      <c r="AB16" s="91">
        <f>AA16-Z16</f>
        <v>0.11226851851851855</v>
      </c>
      <c r="AC16" s="91">
        <f t="shared" si="9"/>
        <v>0.10890046296296299</v>
      </c>
      <c r="AD16" s="38">
        <v>2</v>
      </c>
      <c r="AE16" s="38">
        <v>2</v>
      </c>
      <c r="AF16" s="91">
        <f t="shared" si="4"/>
        <v>0.41666666666666669</v>
      </c>
      <c r="AG16" s="91">
        <f>TIME(11,25,29)</f>
        <v>0.4760300925925926</v>
      </c>
      <c r="AH16" s="91">
        <f t="shared" si="12"/>
        <v>5.9363425925925917E-2</v>
      </c>
      <c r="AI16" s="91">
        <f t="shared" si="13"/>
        <v>5.7582523148148136E-2</v>
      </c>
      <c r="AJ16" s="20">
        <v>2</v>
      </c>
      <c r="AK16" s="20">
        <v>2</v>
      </c>
      <c r="AL16" s="22">
        <f t="shared" si="5"/>
        <v>9</v>
      </c>
      <c r="AM16" s="122">
        <v>2</v>
      </c>
    </row>
    <row r="17" spans="1:39">
      <c r="A17" s="90" t="s">
        <v>70</v>
      </c>
      <c r="B17" s="90" t="s">
        <v>71</v>
      </c>
      <c r="C17" s="20" t="s">
        <v>72</v>
      </c>
      <c r="D17" s="20" t="s">
        <v>73</v>
      </c>
      <c r="E17" s="100">
        <v>0.995</v>
      </c>
      <c r="F17" s="38">
        <v>1.014</v>
      </c>
      <c r="G17" s="22" t="s">
        <v>26</v>
      </c>
      <c r="H17" s="91">
        <f t="shared" si="6"/>
        <v>0.41666666666666669</v>
      </c>
      <c r="I17" s="93">
        <f>TIME(12,10,0)</f>
        <v>0.50694444444444442</v>
      </c>
      <c r="J17" s="91">
        <f t="shared" si="7"/>
        <v>9.0277777777777735E-2</v>
      </c>
      <c r="K17" s="91">
        <f t="shared" si="8"/>
        <v>9.1541666666666618E-2</v>
      </c>
      <c r="L17" s="38">
        <v>10</v>
      </c>
      <c r="M17" s="38">
        <v>10</v>
      </c>
      <c r="N17" s="83" t="s">
        <v>214</v>
      </c>
      <c r="O17" s="83" t="s">
        <v>214</v>
      </c>
      <c r="P17" s="83" t="s">
        <v>214</v>
      </c>
      <c r="Q17" s="83" t="s">
        <v>214</v>
      </c>
      <c r="R17" s="38" t="s">
        <v>214</v>
      </c>
      <c r="S17" s="20">
        <v>20</v>
      </c>
      <c r="T17" s="91">
        <f t="shared" si="1"/>
        <v>0.41666666666666669</v>
      </c>
      <c r="U17" s="91">
        <f>TIME(11,51,21)</f>
        <v>0.49399305555555556</v>
      </c>
      <c r="V17" s="91">
        <f t="shared" si="2"/>
        <v>7.7326388888888875E-2</v>
      </c>
      <c r="W17" s="91">
        <f t="shared" si="11"/>
        <v>7.840895833333332E-2</v>
      </c>
      <c r="X17" s="148">
        <v>4</v>
      </c>
      <c r="Y17" s="148">
        <v>4</v>
      </c>
      <c r="Z17" s="91">
        <f t="shared" si="3"/>
        <v>0.41666666666666669</v>
      </c>
      <c r="AA17" s="124" t="s">
        <v>156</v>
      </c>
      <c r="AB17" s="124" t="s">
        <v>156</v>
      </c>
      <c r="AC17" s="83" t="s">
        <v>156</v>
      </c>
      <c r="AD17" s="38" t="s">
        <v>156</v>
      </c>
      <c r="AE17" s="38">
        <v>14</v>
      </c>
      <c r="AF17" s="91">
        <f t="shared" si="4"/>
        <v>0.41666666666666669</v>
      </c>
      <c r="AG17" s="91">
        <f>TIME(11,28,20)</f>
        <v>0.47800925925925924</v>
      </c>
      <c r="AH17" s="91">
        <f t="shared" si="12"/>
        <v>6.134259259259256E-2</v>
      </c>
      <c r="AI17" s="91">
        <f t="shared" si="13"/>
        <v>6.2201388888888855E-2</v>
      </c>
      <c r="AJ17" s="148">
        <v>5</v>
      </c>
      <c r="AK17" s="148">
        <v>5</v>
      </c>
      <c r="AL17" s="22">
        <f t="shared" si="5"/>
        <v>53</v>
      </c>
      <c r="AM17" s="122">
        <v>8</v>
      </c>
    </row>
    <row r="18" spans="1:39">
      <c r="A18" s="90" t="s">
        <v>75</v>
      </c>
      <c r="B18" s="90" t="s">
        <v>76</v>
      </c>
      <c r="C18" s="20" t="s">
        <v>77</v>
      </c>
      <c r="D18" s="20" t="s">
        <v>78</v>
      </c>
      <c r="E18" s="100">
        <v>1.014</v>
      </c>
      <c r="F18" s="38">
        <v>1.012</v>
      </c>
      <c r="G18" s="22" t="s">
        <v>26</v>
      </c>
      <c r="H18" s="91">
        <f t="shared" si="6"/>
        <v>0.41666666666666669</v>
      </c>
      <c r="I18" s="91">
        <f>TIME(11,45,10)</f>
        <v>0.48969907407407409</v>
      </c>
      <c r="J18" s="94">
        <f t="shared" si="7"/>
        <v>7.3032407407407407E-2</v>
      </c>
      <c r="K18" s="91">
        <f t="shared" si="8"/>
        <v>7.3908796296296292E-2</v>
      </c>
      <c r="L18" s="38">
        <v>1</v>
      </c>
      <c r="M18" s="38">
        <v>1</v>
      </c>
      <c r="N18" s="91">
        <f>TIME(10,0,0)</f>
        <v>0.41666666666666669</v>
      </c>
      <c r="O18" s="91">
        <f>TIME(11,42,50)</f>
        <v>0.48807870370370371</v>
      </c>
      <c r="P18" s="94">
        <f t="shared" si="0"/>
        <v>7.1412037037037024E-2</v>
      </c>
      <c r="Q18" s="91">
        <f t="shared" si="10"/>
        <v>7.2268981481481476E-2</v>
      </c>
      <c r="R18" s="38">
        <v>2</v>
      </c>
      <c r="S18" s="20">
        <v>2</v>
      </c>
      <c r="T18" s="91">
        <f t="shared" si="1"/>
        <v>0.41666666666666669</v>
      </c>
      <c r="U18" s="91">
        <f>TIME(11,49,2)</f>
        <v>0.49238425925925927</v>
      </c>
      <c r="V18" s="94">
        <f t="shared" si="2"/>
        <v>7.5717592592592586E-2</v>
      </c>
      <c r="W18" s="91">
        <f t="shared" si="11"/>
        <v>7.6626203703703696E-2</v>
      </c>
      <c r="X18" s="20">
        <v>2</v>
      </c>
      <c r="Y18" s="20">
        <v>2</v>
      </c>
      <c r="Z18" s="91">
        <f t="shared" si="3"/>
        <v>0.41666666666666669</v>
      </c>
      <c r="AA18" s="93">
        <f>TIME(12,29,37)</f>
        <v>0.52056712962962959</v>
      </c>
      <c r="AB18" s="94">
        <f>AA18-Z18</f>
        <v>0.1039004629629629</v>
      </c>
      <c r="AC18" s="91">
        <f t="shared" si="9"/>
        <v>0.10514726851851845</v>
      </c>
      <c r="AD18" s="38">
        <v>1</v>
      </c>
      <c r="AE18" s="38">
        <v>1</v>
      </c>
      <c r="AF18" s="94">
        <f t="shared" si="4"/>
        <v>0.41666666666666669</v>
      </c>
      <c r="AG18" s="94">
        <f>TIME(11,18,35)</f>
        <v>0.47123842592592591</v>
      </c>
      <c r="AH18" s="94">
        <f t="shared" si="12"/>
        <v>5.4571759259259223E-2</v>
      </c>
      <c r="AI18" s="91">
        <f t="shared" si="13"/>
        <v>5.5226620370370336E-2</v>
      </c>
      <c r="AJ18" s="20">
        <v>1</v>
      </c>
      <c r="AK18" s="20">
        <v>1</v>
      </c>
      <c r="AL18" s="125">
        <f t="shared" si="5"/>
        <v>7</v>
      </c>
      <c r="AM18" s="122">
        <v>1</v>
      </c>
    </row>
    <row r="19" spans="1:39">
      <c r="A19" s="90" t="s">
        <v>88</v>
      </c>
      <c r="B19" s="90" t="s">
        <v>89</v>
      </c>
      <c r="C19" s="20" t="s">
        <v>90</v>
      </c>
      <c r="D19" s="20" t="s">
        <v>91</v>
      </c>
      <c r="E19" s="20"/>
      <c r="F19" s="20">
        <v>0.98799999999999999</v>
      </c>
      <c r="G19" s="20" t="s">
        <v>26</v>
      </c>
      <c r="H19" s="101">
        <f t="shared" ref="H19:H26" si="14">TIME(10,0,0)</f>
        <v>0.41666666666666669</v>
      </c>
      <c r="I19" s="91">
        <f>TIME(12,12,20)</f>
        <v>0.50856481481481486</v>
      </c>
      <c r="J19" s="91">
        <f t="shared" si="7"/>
        <v>9.1898148148148173E-2</v>
      </c>
      <c r="K19" s="91">
        <f t="shared" si="8"/>
        <v>9.0795370370370387E-2</v>
      </c>
      <c r="L19" s="38">
        <v>9</v>
      </c>
      <c r="M19" s="38">
        <v>9</v>
      </c>
      <c r="N19" s="101">
        <f>TIME(10,0,0)</f>
        <v>0.41666666666666669</v>
      </c>
      <c r="O19" s="91">
        <f>TIME(12,2,50)</f>
        <v>0.5019675925925926</v>
      </c>
      <c r="P19" s="91">
        <f>O19-N19</f>
        <v>8.5300925925925919E-2</v>
      </c>
      <c r="Q19" s="91">
        <f t="shared" si="10"/>
        <v>8.4277314814814805E-2</v>
      </c>
      <c r="R19" s="152">
        <v>9</v>
      </c>
      <c r="S19" s="20">
        <v>9</v>
      </c>
      <c r="T19" s="101">
        <f>TIME(10,0,0)</f>
        <v>0.41666666666666669</v>
      </c>
      <c r="U19" s="91">
        <f>TIME(12,3,0)</f>
        <v>0.50208333333333333</v>
      </c>
      <c r="V19" s="91">
        <f>U19-T19</f>
        <v>8.5416666666666641E-2</v>
      </c>
      <c r="W19" s="91">
        <f t="shared" si="11"/>
        <v>8.4391666666666643E-2</v>
      </c>
      <c r="X19" s="130">
        <v>8</v>
      </c>
      <c r="Y19" s="130">
        <v>8</v>
      </c>
      <c r="Z19" s="101">
        <f>TIME(10,0,0)</f>
        <v>0.41666666666666669</v>
      </c>
      <c r="AA19" s="91">
        <f>TIME(13,9,5)</f>
        <v>0.54797453703703702</v>
      </c>
      <c r="AB19" s="91">
        <f>AA19-Z19</f>
        <v>0.13130787037037034</v>
      </c>
      <c r="AC19" s="91">
        <f t="shared" si="9"/>
        <v>0.1297321759259259</v>
      </c>
      <c r="AD19" s="152">
        <v>8</v>
      </c>
      <c r="AE19" s="152">
        <v>8</v>
      </c>
      <c r="AF19" s="91">
        <f t="shared" si="4"/>
        <v>0.41666666666666669</v>
      </c>
      <c r="AG19" s="91">
        <f>TIME(11,48,30)</f>
        <v>0.49201388888888892</v>
      </c>
      <c r="AH19" s="91">
        <f t="shared" si="12"/>
        <v>7.5347222222222232E-2</v>
      </c>
      <c r="AI19" s="91">
        <f t="shared" si="13"/>
        <v>7.4443055555555568E-2</v>
      </c>
      <c r="AJ19" s="130">
        <v>11</v>
      </c>
      <c r="AK19" s="130">
        <v>11</v>
      </c>
      <c r="AL19" s="22">
        <f t="shared" si="5"/>
        <v>45</v>
      </c>
      <c r="AM19" s="122">
        <v>7</v>
      </c>
    </row>
    <row r="20" spans="1:39">
      <c r="A20" s="11" t="s">
        <v>207</v>
      </c>
      <c r="B20" s="11" t="s">
        <v>208</v>
      </c>
      <c r="C20" s="148" t="s">
        <v>209</v>
      </c>
      <c r="D20" s="148" t="s">
        <v>210</v>
      </c>
      <c r="E20" s="20"/>
      <c r="F20" s="38">
        <v>0.88</v>
      </c>
      <c r="G20" s="148" t="s">
        <v>26</v>
      </c>
      <c r="H20" s="101">
        <f t="shared" si="14"/>
        <v>0.41666666666666669</v>
      </c>
      <c r="I20" s="91">
        <f>TIME(12,58,28)</f>
        <v>0.54060185185185183</v>
      </c>
      <c r="J20" s="91">
        <f t="shared" si="7"/>
        <v>0.12393518518518515</v>
      </c>
      <c r="K20" s="91">
        <f t="shared" si="8"/>
        <v>0.10906296296296293</v>
      </c>
      <c r="L20" s="38">
        <v>17</v>
      </c>
      <c r="M20" s="38">
        <v>17</v>
      </c>
      <c r="N20" s="131" t="s">
        <v>214</v>
      </c>
      <c r="O20" s="131" t="s">
        <v>214</v>
      </c>
      <c r="P20" s="131" t="s">
        <v>214</v>
      </c>
      <c r="Q20" s="83" t="s">
        <v>214</v>
      </c>
      <c r="R20" s="153" t="s">
        <v>214</v>
      </c>
      <c r="S20" s="20">
        <v>20</v>
      </c>
      <c r="T20" s="83" t="s">
        <v>214</v>
      </c>
      <c r="U20" s="83" t="s">
        <v>214</v>
      </c>
      <c r="V20" s="83" t="s">
        <v>214</v>
      </c>
      <c r="W20" s="83" t="s">
        <v>214</v>
      </c>
      <c r="X20" s="84" t="s">
        <v>214</v>
      </c>
      <c r="Y20" s="20">
        <v>20</v>
      </c>
      <c r="Z20" s="133" t="s">
        <v>214</v>
      </c>
      <c r="AA20" s="133" t="s">
        <v>214</v>
      </c>
      <c r="AB20" s="133" t="s">
        <v>214</v>
      </c>
      <c r="AC20" s="83" t="s">
        <v>214</v>
      </c>
      <c r="AD20" s="153" t="s">
        <v>214</v>
      </c>
      <c r="AE20" s="152">
        <v>20</v>
      </c>
      <c r="AF20" s="83" t="s">
        <v>214</v>
      </c>
      <c r="AG20" s="124" t="s">
        <v>214</v>
      </c>
      <c r="AH20" s="124" t="s">
        <v>214</v>
      </c>
      <c r="AI20" s="83" t="s">
        <v>214</v>
      </c>
      <c r="AJ20" s="29" t="s">
        <v>214</v>
      </c>
      <c r="AK20" s="20">
        <v>20</v>
      </c>
      <c r="AL20" s="22">
        <f t="shared" si="5"/>
        <v>97</v>
      </c>
      <c r="AM20" s="122">
        <v>18</v>
      </c>
    </row>
    <row r="21" spans="1:39">
      <c r="A21" s="102" t="s">
        <v>211</v>
      </c>
      <c r="B21" s="102" t="s">
        <v>212</v>
      </c>
      <c r="C21" s="103" t="s">
        <v>213</v>
      </c>
      <c r="D21" s="104" t="s">
        <v>91</v>
      </c>
      <c r="E21" s="103"/>
      <c r="F21" s="105">
        <v>1.0660000000000001</v>
      </c>
      <c r="G21" s="103" t="s">
        <v>20</v>
      </c>
      <c r="H21" s="106">
        <f t="shared" si="14"/>
        <v>0.41666666666666669</v>
      </c>
      <c r="I21" s="94">
        <f>TIME(12,5,2)</f>
        <v>0.5034953703703704</v>
      </c>
      <c r="J21" s="94">
        <f t="shared" si="7"/>
        <v>8.6828703703703713E-2</v>
      </c>
      <c r="K21" s="91">
        <f t="shared" si="8"/>
        <v>9.2559398148148161E-2</v>
      </c>
      <c r="L21" s="105">
        <v>12</v>
      </c>
      <c r="M21" s="105">
        <v>12</v>
      </c>
      <c r="N21" s="135" t="s">
        <v>214</v>
      </c>
      <c r="O21" s="135" t="s">
        <v>214</v>
      </c>
      <c r="P21" s="135" t="s">
        <v>214</v>
      </c>
      <c r="Q21" s="83" t="s">
        <v>214</v>
      </c>
      <c r="R21" s="154" t="s">
        <v>214</v>
      </c>
      <c r="S21" s="20">
        <v>20</v>
      </c>
      <c r="T21" s="83" t="s">
        <v>214</v>
      </c>
      <c r="U21" s="83" t="s">
        <v>214</v>
      </c>
      <c r="V21" s="83" t="s">
        <v>214</v>
      </c>
      <c r="W21" s="83" t="s">
        <v>214</v>
      </c>
      <c r="X21" s="84" t="s">
        <v>214</v>
      </c>
      <c r="Y21" s="20">
        <v>20</v>
      </c>
      <c r="Z21" s="133" t="s">
        <v>214</v>
      </c>
      <c r="AA21" s="133" t="s">
        <v>214</v>
      </c>
      <c r="AB21" s="133" t="s">
        <v>214</v>
      </c>
      <c r="AC21" s="83" t="s">
        <v>214</v>
      </c>
      <c r="AD21" s="153" t="s">
        <v>214</v>
      </c>
      <c r="AE21" s="152">
        <v>20</v>
      </c>
      <c r="AF21" s="83" t="s">
        <v>214</v>
      </c>
      <c r="AG21" s="124" t="s">
        <v>214</v>
      </c>
      <c r="AH21" s="124" t="s">
        <v>214</v>
      </c>
      <c r="AI21" s="83" t="s">
        <v>214</v>
      </c>
      <c r="AJ21" s="29" t="s">
        <v>214</v>
      </c>
      <c r="AK21" s="20">
        <v>20</v>
      </c>
      <c r="AL21" s="22">
        <f t="shared" si="5"/>
        <v>92</v>
      </c>
      <c r="AM21" s="122">
        <v>16</v>
      </c>
    </row>
    <row r="22" spans="1:39">
      <c r="A22" s="108" t="s">
        <v>215</v>
      </c>
      <c r="B22" s="108" t="s">
        <v>216</v>
      </c>
      <c r="C22" s="109" t="s">
        <v>217</v>
      </c>
      <c r="D22" s="109">
        <v>9200</v>
      </c>
      <c r="E22" s="110"/>
      <c r="F22" s="110">
        <v>0.94</v>
      </c>
      <c r="G22" s="109" t="s">
        <v>26</v>
      </c>
      <c r="H22" s="111">
        <f t="shared" si="14"/>
        <v>0.41666666666666669</v>
      </c>
      <c r="I22" s="99">
        <f>TIME(12,1,2)</f>
        <v>0.50071759259259252</v>
      </c>
      <c r="J22" s="99">
        <f t="shared" si="7"/>
        <v>8.4050925925925835E-2</v>
      </c>
      <c r="K22" s="91">
        <f t="shared" si="8"/>
        <v>7.9007870370370284E-2</v>
      </c>
      <c r="L22" s="110">
        <v>4</v>
      </c>
      <c r="M22" s="110">
        <v>4</v>
      </c>
      <c r="N22" s="137" t="s">
        <v>214</v>
      </c>
      <c r="O22" s="137" t="s">
        <v>214</v>
      </c>
      <c r="P22" s="137" t="s">
        <v>214</v>
      </c>
      <c r="Q22" s="83" t="s">
        <v>214</v>
      </c>
      <c r="R22" s="155" t="s">
        <v>214</v>
      </c>
      <c r="S22" s="20">
        <v>20</v>
      </c>
      <c r="T22" s="83" t="s">
        <v>214</v>
      </c>
      <c r="U22" s="83" t="s">
        <v>214</v>
      </c>
      <c r="V22" s="83" t="s">
        <v>214</v>
      </c>
      <c r="W22" s="83" t="s">
        <v>214</v>
      </c>
      <c r="X22" s="84" t="s">
        <v>214</v>
      </c>
      <c r="Y22" s="20">
        <v>20</v>
      </c>
      <c r="Z22" s="133" t="s">
        <v>214</v>
      </c>
      <c r="AA22" s="133" t="s">
        <v>214</v>
      </c>
      <c r="AB22" s="133" t="s">
        <v>214</v>
      </c>
      <c r="AC22" s="83" t="s">
        <v>214</v>
      </c>
      <c r="AD22" s="153" t="s">
        <v>214</v>
      </c>
      <c r="AE22" s="152">
        <v>20</v>
      </c>
      <c r="AF22" s="83" t="s">
        <v>214</v>
      </c>
      <c r="AG22" s="124" t="s">
        <v>214</v>
      </c>
      <c r="AH22" s="124" t="s">
        <v>214</v>
      </c>
      <c r="AI22" s="83" t="s">
        <v>214</v>
      </c>
      <c r="AJ22" s="29" t="s">
        <v>214</v>
      </c>
      <c r="AK22" s="20">
        <v>20</v>
      </c>
      <c r="AL22" s="22">
        <f t="shared" si="5"/>
        <v>84</v>
      </c>
      <c r="AM22" s="122">
        <v>15</v>
      </c>
    </row>
    <row r="23" spans="1:39">
      <c r="A23" s="90" t="s">
        <v>99</v>
      </c>
      <c r="B23" s="90" t="s">
        <v>100</v>
      </c>
      <c r="C23" s="20" t="s">
        <v>101</v>
      </c>
      <c r="D23" s="20" t="s">
        <v>102</v>
      </c>
      <c r="E23" s="20"/>
      <c r="F23" s="20">
        <v>0.90600000000000003</v>
      </c>
      <c r="G23" s="20" t="s">
        <v>26</v>
      </c>
      <c r="H23" s="101">
        <f t="shared" si="14"/>
        <v>0.41666666666666669</v>
      </c>
      <c r="I23" s="83" t="s">
        <v>156</v>
      </c>
      <c r="J23" s="83" t="s">
        <v>156</v>
      </c>
      <c r="K23" s="83" t="s">
        <v>156</v>
      </c>
      <c r="L23" s="38" t="s">
        <v>156</v>
      </c>
      <c r="M23" s="38">
        <v>19</v>
      </c>
      <c r="N23" s="131" t="s">
        <v>214</v>
      </c>
      <c r="O23" s="131" t="s">
        <v>214</v>
      </c>
      <c r="P23" s="131" t="s">
        <v>214</v>
      </c>
      <c r="Q23" s="83" t="s">
        <v>214</v>
      </c>
      <c r="R23" s="153" t="s">
        <v>214</v>
      </c>
      <c r="S23" s="20">
        <v>20</v>
      </c>
      <c r="T23" s="83" t="s">
        <v>214</v>
      </c>
      <c r="U23" s="83" t="s">
        <v>214</v>
      </c>
      <c r="V23" s="83" t="s">
        <v>214</v>
      </c>
      <c r="W23" s="83" t="s">
        <v>214</v>
      </c>
      <c r="X23" s="84" t="s">
        <v>214</v>
      </c>
      <c r="Y23" s="20">
        <v>20</v>
      </c>
      <c r="Z23" s="133" t="s">
        <v>214</v>
      </c>
      <c r="AA23" s="133" t="s">
        <v>214</v>
      </c>
      <c r="AB23" s="133" t="s">
        <v>214</v>
      </c>
      <c r="AC23" s="83" t="s">
        <v>214</v>
      </c>
      <c r="AD23" s="153" t="s">
        <v>214</v>
      </c>
      <c r="AE23" s="152">
        <v>20</v>
      </c>
      <c r="AF23" s="83" t="s">
        <v>214</v>
      </c>
      <c r="AG23" s="124" t="s">
        <v>214</v>
      </c>
      <c r="AH23" s="124" t="s">
        <v>214</v>
      </c>
      <c r="AI23" s="83" t="s">
        <v>214</v>
      </c>
      <c r="AJ23" s="29" t="s">
        <v>214</v>
      </c>
      <c r="AK23" s="20">
        <v>20</v>
      </c>
      <c r="AL23" s="22">
        <f t="shared" si="5"/>
        <v>99</v>
      </c>
      <c r="AM23" s="122">
        <v>19</v>
      </c>
    </row>
    <row r="24" spans="1:39">
      <c r="A24" s="11" t="s">
        <v>218</v>
      </c>
      <c r="B24" s="11" t="s">
        <v>219</v>
      </c>
      <c r="C24" s="148" t="s">
        <v>220</v>
      </c>
      <c r="D24" s="148" t="s">
        <v>221</v>
      </c>
      <c r="E24" s="20"/>
      <c r="F24" s="38">
        <v>0.88</v>
      </c>
      <c r="G24" s="148" t="s">
        <v>26</v>
      </c>
      <c r="H24" s="101">
        <f t="shared" si="14"/>
        <v>0.41666666666666669</v>
      </c>
      <c r="I24" s="83">
        <f>TIME(12,2,0)</f>
        <v>0.50138888888888888</v>
      </c>
      <c r="J24" s="91">
        <f t="shared" si="7"/>
        <v>8.4722222222222199E-2</v>
      </c>
      <c r="K24" s="91">
        <f t="shared" si="8"/>
        <v>7.4555555555555542E-2</v>
      </c>
      <c r="L24" s="38">
        <v>2</v>
      </c>
      <c r="M24" s="38">
        <v>2</v>
      </c>
      <c r="N24" s="101">
        <f>TIME(10,0,0)</f>
        <v>0.41666666666666669</v>
      </c>
      <c r="O24" s="91">
        <f>TIME(12,3,0)</f>
        <v>0.50208333333333333</v>
      </c>
      <c r="P24" s="91">
        <f t="shared" ref="P24:P30" si="15">O24-N24</f>
        <v>8.5416666666666641E-2</v>
      </c>
      <c r="Q24" s="91">
        <f t="shared" si="10"/>
        <v>7.5166666666666646E-2</v>
      </c>
      <c r="R24" s="152">
        <v>3</v>
      </c>
      <c r="S24" s="130">
        <v>3</v>
      </c>
      <c r="T24" s="101">
        <f t="shared" ref="T24:T30" si="16">TIME(10,0,0)</f>
        <v>0.41666666666666669</v>
      </c>
      <c r="U24" s="91">
        <f>TIME(12,6,10)</f>
        <v>0.50428240740740737</v>
      </c>
      <c r="V24" s="91">
        <f>U24-T24</f>
        <v>8.7615740740740689E-2</v>
      </c>
      <c r="W24" s="91">
        <f t="shared" si="11"/>
        <v>7.710185185185181E-2</v>
      </c>
      <c r="X24" s="130">
        <v>3</v>
      </c>
      <c r="Y24" s="20">
        <v>3</v>
      </c>
      <c r="Z24" s="101">
        <f t="shared" ref="Z24:Z30" si="17">TIME(10,0,0)</f>
        <v>0.41666666666666669</v>
      </c>
      <c r="AA24" s="91">
        <f>TIME(13,3,33)</f>
        <v>0.54413194444444446</v>
      </c>
      <c r="AB24" s="91">
        <f t="shared" ref="AB24:AB29" si="18">AA24-Z24</f>
        <v>0.12746527777777777</v>
      </c>
      <c r="AC24" s="91">
        <f t="shared" si="9"/>
        <v>0.11216944444444445</v>
      </c>
      <c r="AD24" s="152">
        <v>4</v>
      </c>
      <c r="AE24" s="152">
        <v>4</v>
      </c>
      <c r="AF24" s="91">
        <f t="shared" si="4"/>
        <v>0.41666666666666669</v>
      </c>
      <c r="AG24" s="91">
        <f>TIME(11,35,49)</f>
        <v>0.48320601851851852</v>
      </c>
      <c r="AH24" s="91">
        <f t="shared" si="12"/>
        <v>6.6539351851851836E-2</v>
      </c>
      <c r="AI24" s="91">
        <f t="shared" si="13"/>
        <v>5.8554629629629616E-2</v>
      </c>
      <c r="AJ24" s="130">
        <v>3</v>
      </c>
      <c r="AK24" s="20">
        <v>3</v>
      </c>
      <c r="AL24" s="22">
        <f t="shared" si="5"/>
        <v>15</v>
      </c>
      <c r="AM24" s="122">
        <v>3</v>
      </c>
    </row>
    <row r="25" spans="1:39">
      <c r="A25" s="90" t="s">
        <v>222</v>
      </c>
      <c r="B25" s="112" t="s">
        <v>223</v>
      </c>
      <c r="C25" s="20" t="s">
        <v>224</v>
      </c>
      <c r="D25" s="148" t="s">
        <v>91</v>
      </c>
      <c r="E25" s="38"/>
      <c r="F25" s="38">
        <v>0.83099999999999996</v>
      </c>
      <c r="G25" s="148" t="s">
        <v>26</v>
      </c>
      <c r="H25" s="101">
        <f t="shared" si="14"/>
        <v>0.41666666666666669</v>
      </c>
      <c r="I25" s="91">
        <f>TIME(13,7,0)</f>
        <v>0.54652777777777783</v>
      </c>
      <c r="J25" s="91">
        <f t="shared" si="7"/>
        <v>0.12986111111111115</v>
      </c>
      <c r="K25" s="91">
        <f t="shared" si="8"/>
        <v>0.10791458333333336</v>
      </c>
      <c r="L25" s="38">
        <v>16</v>
      </c>
      <c r="M25" s="38">
        <v>16</v>
      </c>
      <c r="N25" s="131" t="s">
        <v>214</v>
      </c>
      <c r="O25" s="131" t="s">
        <v>214</v>
      </c>
      <c r="P25" s="131" t="s">
        <v>214</v>
      </c>
      <c r="Q25" s="83" t="s">
        <v>214</v>
      </c>
      <c r="R25" s="153" t="s">
        <v>214</v>
      </c>
      <c r="S25" s="20">
        <v>20</v>
      </c>
      <c r="T25" s="83" t="s">
        <v>214</v>
      </c>
      <c r="U25" s="83" t="s">
        <v>214</v>
      </c>
      <c r="V25" s="83" t="s">
        <v>214</v>
      </c>
      <c r="W25" s="83" t="s">
        <v>214</v>
      </c>
      <c r="X25" s="84" t="s">
        <v>214</v>
      </c>
      <c r="Y25" s="20">
        <v>20</v>
      </c>
      <c r="Z25" s="133" t="s">
        <v>214</v>
      </c>
      <c r="AA25" s="133" t="s">
        <v>214</v>
      </c>
      <c r="AB25" s="133" t="s">
        <v>214</v>
      </c>
      <c r="AC25" s="83" t="s">
        <v>214</v>
      </c>
      <c r="AD25" s="152" t="s">
        <v>214</v>
      </c>
      <c r="AE25" s="152">
        <v>20</v>
      </c>
      <c r="AF25" s="83" t="s">
        <v>214</v>
      </c>
      <c r="AG25" s="124" t="s">
        <v>214</v>
      </c>
      <c r="AH25" s="124" t="s">
        <v>214</v>
      </c>
      <c r="AI25" s="83" t="s">
        <v>214</v>
      </c>
      <c r="AJ25" s="29" t="s">
        <v>214</v>
      </c>
      <c r="AK25" s="20">
        <v>20</v>
      </c>
      <c r="AL25" s="22">
        <f t="shared" si="5"/>
        <v>96</v>
      </c>
      <c r="AM25" s="122">
        <v>17</v>
      </c>
    </row>
    <row r="26" spans="1:39">
      <c r="A26" s="90" t="s">
        <v>103</v>
      </c>
      <c r="B26" s="112" t="s">
        <v>104</v>
      </c>
      <c r="C26" s="20" t="s">
        <v>105</v>
      </c>
      <c r="D26" s="20" t="s">
        <v>106</v>
      </c>
      <c r="E26" s="38"/>
      <c r="F26" s="38">
        <v>0.80600000000000005</v>
      </c>
      <c r="G26" s="20" t="s">
        <v>26</v>
      </c>
      <c r="H26" s="101">
        <f t="shared" si="14"/>
        <v>0.41666666666666669</v>
      </c>
      <c r="I26" s="91">
        <f>TIME(13,3,11)</f>
        <v>0.54387731481481483</v>
      </c>
      <c r="J26" s="91">
        <f t="shared" si="7"/>
        <v>0.12721064814814814</v>
      </c>
      <c r="K26" s="91">
        <f t="shared" si="8"/>
        <v>0.10253178240740742</v>
      </c>
      <c r="L26" s="38">
        <v>14</v>
      </c>
      <c r="M26" s="38">
        <v>14</v>
      </c>
      <c r="N26" s="101">
        <f>TIME(10,0,0)</f>
        <v>0.41666666666666669</v>
      </c>
      <c r="O26" s="91">
        <f>TIME(12,54,25)</f>
        <v>0.53778935185185184</v>
      </c>
      <c r="P26" s="91">
        <f t="shared" si="15"/>
        <v>0.12112268518518515</v>
      </c>
      <c r="Q26" s="91">
        <f t="shared" si="10"/>
        <v>9.7624884259259234E-2</v>
      </c>
      <c r="R26" s="152">
        <v>11</v>
      </c>
      <c r="S26" s="130">
        <v>11</v>
      </c>
      <c r="T26" s="83" t="s">
        <v>214</v>
      </c>
      <c r="U26" s="83" t="s">
        <v>214</v>
      </c>
      <c r="V26" s="83" t="s">
        <v>214</v>
      </c>
      <c r="W26" s="83" t="s">
        <v>214</v>
      </c>
      <c r="X26" s="30" t="s">
        <v>214</v>
      </c>
      <c r="Y26" s="20">
        <v>20</v>
      </c>
      <c r="Z26" s="101">
        <f t="shared" si="17"/>
        <v>0.41666666666666669</v>
      </c>
      <c r="AA26" s="91">
        <f>TIME(13,53,23)</f>
        <v>0.57873842592592595</v>
      </c>
      <c r="AB26" s="91">
        <f t="shared" si="18"/>
        <v>0.16207175925925926</v>
      </c>
      <c r="AC26" s="91">
        <f t="shared" si="9"/>
        <v>0.13062983796296299</v>
      </c>
      <c r="AD26" s="152">
        <v>9</v>
      </c>
      <c r="AE26" s="152">
        <v>9</v>
      </c>
      <c r="AF26" s="124" t="s">
        <v>214</v>
      </c>
      <c r="AG26" s="124" t="s">
        <v>214</v>
      </c>
      <c r="AH26" s="124" t="s">
        <v>214</v>
      </c>
      <c r="AI26" s="83" t="s">
        <v>214</v>
      </c>
      <c r="AJ26" s="29" t="s">
        <v>214</v>
      </c>
      <c r="AK26" s="20">
        <v>20</v>
      </c>
      <c r="AL26" s="22">
        <f t="shared" si="5"/>
        <v>74</v>
      </c>
      <c r="AM26" s="122">
        <v>14</v>
      </c>
    </row>
    <row r="27" spans="1:39">
      <c r="A27" s="90" t="s">
        <v>37</v>
      </c>
      <c r="B27" s="90" t="s">
        <v>38</v>
      </c>
      <c r="C27" s="20" t="s">
        <v>39</v>
      </c>
      <c r="D27" s="20" t="s">
        <v>40</v>
      </c>
      <c r="E27" s="20"/>
      <c r="F27" s="38">
        <v>0.86799999999999999</v>
      </c>
      <c r="G27" s="20" t="s">
        <v>26</v>
      </c>
      <c r="H27" s="91">
        <f>TIME(10,0,0)</f>
        <v>0.41666666666666669</v>
      </c>
      <c r="I27" s="91">
        <f>TIME(12,56,29)</f>
        <v>0.5392245370370371</v>
      </c>
      <c r="J27" s="91">
        <f t="shared" si="7"/>
        <v>0.12255787037037041</v>
      </c>
      <c r="K27" s="91">
        <f t="shared" si="8"/>
        <v>0.10638023148148151</v>
      </c>
      <c r="L27" s="38">
        <v>15</v>
      </c>
      <c r="M27" s="38">
        <v>15</v>
      </c>
      <c r="N27" s="91">
        <f>TIME(10,0,0)</f>
        <v>0.41666666666666669</v>
      </c>
      <c r="O27" s="91">
        <f>TIME(12,47,25)</f>
        <v>0.53292824074074074</v>
      </c>
      <c r="P27" s="91">
        <f t="shared" si="15"/>
        <v>0.11626157407407406</v>
      </c>
      <c r="Q27" s="91">
        <f t="shared" si="10"/>
        <v>0.10091504629629629</v>
      </c>
      <c r="R27" s="152">
        <v>12</v>
      </c>
      <c r="S27" s="130">
        <v>12</v>
      </c>
      <c r="T27" s="101">
        <f t="shared" si="16"/>
        <v>0.41666666666666669</v>
      </c>
      <c r="U27" s="91">
        <f>TIME(12,58,33)</f>
        <v>0.54065972222222225</v>
      </c>
      <c r="V27" s="91">
        <f>U27-T27</f>
        <v>0.12399305555555556</v>
      </c>
      <c r="W27" s="91">
        <f t="shared" si="11"/>
        <v>0.10762597222222223</v>
      </c>
      <c r="X27" s="130">
        <v>12</v>
      </c>
      <c r="Y27" s="130">
        <v>12</v>
      </c>
      <c r="Z27" s="101">
        <f t="shared" si="17"/>
        <v>0.41666666666666669</v>
      </c>
      <c r="AA27" s="133" t="s">
        <v>156</v>
      </c>
      <c r="AB27" s="133" t="s">
        <v>156</v>
      </c>
      <c r="AC27" s="83" t="s">
        <v>156</v>
      </c>
      <c r="AD27" s="152" t="s">
        <v>156</v>
      </c>
      <c r="AE27" s="152">
        <v>14</v>
      </c>
      <c r="AF27" s="124" t="s">
        <v>214</v>
      </c>
      <c r="AG27" s="124" t="s">
        <v>214</v>
      </c>
      <c r="AH27" s="124" t="s">
        <v>214</v>
      </c>
      <c r="AI27" s="83" t="s">
        <v>214</v>
      </c>
      <c r="AJ27" s="30" t="s">
        <v>214</v>
      </c>
      <c r="AK27" s="20">
        <v>20</v>
      </c>
      <c r="AL27" s="22">
        <f t="shared" si="5"/>
        <v>73</v>
      </c>
      <c r="AM27" s="122">
        <v>13</v>
      </c>
    </row>
    <row r="28" spans="1:39">
      <c r="A28" s="90" t="s">
        <v>107</v>
      </c>
      <c r="B28" s="90" t="s">
        <v>225</v>
      </c>
      <c r="C28" s="20" t="s">
        <v>226</v>
      </c>
      <c r="D28" s="20">
        <v>128</v>
      </c>
      <c r="E28" s="38"/>
      <c r="F28" s="38">
        <v>0.79900000000000004</v>
      </c>
      <c r="G28" s="20" t="s">
        <v>26</v>
      </c>
      <c r="H28" s="101">
        <f>TIME(10,0,0)</f>
        <v>0.41666666666666669</v>
      </c>
      <c r="I28" s="91">
        <f>TIME(12,46,36)</f>
        <v>0.53236111111111117</v>
      </c>
      <c r="J28" s="91">
        <f>I28-H28</f>
        <v>0.11569444444444449</v>
      </c>
      <c r="K28" s="91">
        <f t="shared" si="8"/>
        <v>9.2439861111111146E-2</v>
      </c>
      <c r="L28" s="38">
        <v>11</v>
      </c>
      <c r="M28" s="38">
        <v>11</v>
      </c>
      <c r="N28" s="101">
        <f>TIME(10,0,0)</f>
        <v>0.41666666666666669</v>
      </c>
      <c r="O28" s="91">
        <f>TIME(12,27,15)</f>
        <v>0.51892361111111118</v>
      </c>
      <c r="P28" s="91">
        <f t="shared" si="15"/>
        <v>0.1022569444444445</v>
      </c>
      <c r="Q28" s="91">
        <f t="shared" si="10"/>
        <v>8.1703298611111155E-2</v>
      </c>
      <c r="R28" s="152">
        <v>8</v>
      </c>
      <c r="S28" s="130">
        <v>8</v>
      </c>
      <c r="T28" s="101">
        <f t="shared" si="16"/>
        <v>0.41666666666666669</v>
      </c>
      <c r="U28" s="91">
        <f>TIME(12,38,33)</f>
        <v>0.5267708333333333</v>
      </c>
      <c r="V28" s="91">
        <f>U28-T28</f>
        <v>0.11010416666666661</v>
      </c>
      <c r="W28" s="91">
        <f t="shared" si="11"/>
        <v>8.7973229166666625E-2</v>
      </c>
      <c r="X28" s="130">
        <v>9</v>
      </c>
      <c r="Y28" s="130">
        <v>9</v>
      </c>
      <c r="Z28" s="133" t="s">
        <v>214</v>
      </c>
      <c r="AA28" s="133" t="s">
        <v>214</v>
      </c>
      <c r="AB28" s="133" t="s">
        <v>214</v>
      </c>
      <c r="AC28" s="83" t="s">
        <v>214</v>
      </c>
      <c r="AD28" s="152" t="s">
        <v>214</v>
      </c>
      <c r="AE28" s="152">
        <v>20</v>
      </c>
      <c r="AF28" s="91">
        <f t="shared" si="4"/>
        <v>0.41666666666666669</v>
      </c>
      <c r="AG28" s="91">
        <f>TIME(11,57,30)</f>
        <v>0.4982638888888889</v>
      </c>
      <c r="AH28" s="91">
        <f t="shared" si="12"/>
        <v>8.159722222222221E-2</v>
      </c>
      <c r="AI28" s="91">
        <f t="shared" si="13"/>
        <v>6.5196180555555552E-2</v>
      </c>
      <c r="AJ28" s="130">
        <v>9</v>
      </c>
      <c r="AK28" s="20">
        <v>9</v>
      </c>
      <c r="AL28" s="22">
        <f t="shared" si="5"/>
        <v>57</v>
      </c>
      <c r="AM28" s="122">
        <v>11</v>
      </c>
    </row>
    <row r="29" spans="1:39">
      <c r="A29" s="90" t="s">
        <v>43</v>
      </c>
      <c r="B29" s="90" t="s">
        <v>44</v>
      </c>
      <c r="C29" s="20" t="s">
        <v>45</v>
      </c>
      <c r="D29" s="20" t="s">
        <v>46</v>
      </c>
      <c r="E29" s="20"/>
      <c r="F29" s="38">
        <v>0.91100000000000003</v>
      </c>
      <c r="G29" s="20" t="s">
        <v>26</v>
      </c>
      <c r="H29" s="91">
        <f>TIME(10,0,0)</f>
        <v>0.41666666666666669</v>
      </c>
      <c r="I29" s="91">
        <f>TIME(12,21,19)</f>
        <v>0.51480324074074069</v>
      </c>
      <c r="J29" s="91">
        <f>I29-H29</f>
        <v>9.8136574074074001E-2</v>
      </c>
      <c r="K29" s="91">
        <f t="shared" si="8"/>
        <v>8.9402418981481421E-2</v>
      </c>
      <c r="L29" s="38">
        <v>8</v>
      </c>
      <c r="M29" s="38">
        <v>8</v>
      </c>
      <c r="N29" s="91">
        <f>TIME(10,0,0)</f>
        <v>0.41666666666666669</v>
      </c>
      <c r="O29" s="91">
        <f>TIME(12,6,6)</f>
        <v>0.50423611111111111</v>
      </c>
      <c r="P29" s="91">
        <f t="shared" si="15"/>
        <v>8.7569444444444422E-2</v>
      </c>
      <c r="Q29" s="91">
        <f t="shared" si="10"/>
        <v>7.9775763888888865E-2</v>
      </c>
      <c r="R29" s="152">
        <v>6</v>
      </c>
      <c r="S29" s="130">
        <v>6</v>
      </c>
      <c r="T29" s="101">
        <f t="shared" si="16"/>
        <v>0.41666666666666669</v>
      </c>
      <c r="U29" s="91">
        <f>TIME(12,12,3)</f>
        <v>0.50836805555555553</v>
      </c>
      <c r="V29" s="91">
        <f>U29-T29</f>
        <v>9.1701388888888846E-2</v>
      </c>
      <c r="W29" s="91">
        <f t="shared" si="11"/>
        <v>8.3539965277777739E-2</v>
      </c>
      <c r="X29" s="130">
        <v>7</v>
      </c>
      <c r="Y29" s="130">
        <v>7</v>
      </c>
      <c r="Z29" s="101">
        <f t="shared" si="17"/>
        <v>0.41666666666666669</v>
      </c>
      <c r="AA29" s="91">
        <f>TIME(13,12,47)</f>
        <v>0.55054398148148154</v>
      </c>
      <c r="AB29" s="91">
        <f t="shared" si="18"/>
        <v>0.13387731481481485</v>
      </c>
      <c r="AC29" s="91">
        <f t="shared" si="9"/>
        <v>0.12196223379629634</v>
      </c>
      <c r="AD29" s="130">
        <v>7</v>
      </c>
      <c r="AE29" s="130">
        <v>7</v>
      </c>
      <c r="AF29" s="91">
        <f t="shared" si="4"/>
        <v>0.41666666666666669</v>
      </c>
      <c r="AG29" s="91">
        <f>TIME(11,40,35)</f>
        <v>0.48651620370370369</v>
      </c>
      <c r="AH29" s="91">
        <f t="shared" si="12"/>
        <v>6.9849537037037002E-2</v>
      </c>
      <c r="AI29" s="91">
        <f t="shared" si="13"/>
        <v>6.363292824074071E-2</v>
      </c>
      <c r="AJ29" s="130">
        <v>7</v>
      </c>
      <c r="AK29" s="20">
        <v>7</v>
      </c>
      <c r="AL29" s="22">
        <f t="shared" si="5"/>
        <v>35</v>
      </c>
      <c r="AM29" s="122">
        <v>6</v>
      </c>
    </row>
    <row r="30" spans="1:39">
      <c r="A30" s="90" t="s">
        <v>186</v>
      </c>
      <c r="B30" s="90" t="s">
        <v>227</v>
      </c>
      <c r="C30" s="20" t="s">
        <v>228</v>
      </c>
      <c r="D30" s="148" t="s">
        <v>229</v>
      </c>
      <c r="E30" s="20"/>
      <c r="F30" s="148">
        <v>1.026</v>
      </c>
      <c r="G30" s="20" t="s">
        <v>20</v>
      </c>
      <c r="H30" s="107" t="s">
        <v>214</v>
      </c>
      <c r="I30" s="107" t="s">
        <v>214</v>
      </c>
      <c r="J30" s="107" t="s">
        <v>214</v>
      </c>
      <c r="K30" s="107" t="s">
        <v>214</v>
      </c>
      <c r="L30" s="38" t="s">
        <v>214</v>
      </c>
      <c r="M30" s="38">
        <v>20</v>
      </c>
      <c r="N30" s="91">
        <f>TIME(10,0,0)</f>
        <v>0.41666666666666669</v>
      </c>
      <c r="O30" s="91">
        <f>TIME(11,52,8)</f>
        <v>0.49453703703703705</v>
      </c>
      <c r="P30" s="91">
        <f t="shared" si="15"/>
        <v>7.7870370370370368E-2</v>
      </c>
      <c r="Q30" s="91">
        <f t="shared" si="10"/>
        <v>7.9894999999999994E-2</v>
      </c>
      <c r="R30" s="152">
        <v>7</v>
      </c>
      <c r="S30" s="130">
        <v>7</v>
      </c>
      <c r="T30" s="101">
        <f t="shared" si="16"/>
        <v>0.41666666666666669</v>
      </c>
      <c r="U30" s="91">
        <f>TIME(12,4,9)</f>
        <v>0.50288194444444445</v>
      </c>
      <c r="V30" s="91">
        <f>U30-T30</f>
        <v>8.6215277777777766E-2</v>
      </c>
      <c r="W30" s="91">
        <f t="shared" si="11"/>
        <v>8.845687499999999E-2</v>
      </c>
      <c r="X30" s="130">
        <v>10</v>
      </c>
      <c r="Y30" s="130">
        <v>10</v>
      </c>
      <c r="Z30" s="101">
        <f t="shared" si="17"/>
        <v>0.41666666666666669</v>
      </c>
      <c r="AA30" s="133" t="s">
        <v>156</v>
      </c>
      <c r="AB30" s="133" t="s">
        <v>156</v>
      </c>
      <c r="AC30" s="83" t="s">
        <v>156</v>
      </c>
      <c r="AD30" s="85" t="s">
        <v>156</v>
      </c>
      <c r="AE30" s="130">
        <v>14</v>
      </c>
      <c r="AF30" s="91">
        <f t="shared" si="4"/>
        <v>0.41666666666666669</v>
      </c>
      <c r="AG30" s="91">
        <f>TIME(11,24,33)</f>
        <v>0.47538194444444448</v>
      </c>
      <c r="AH30" s="91">
        <f t="shared" si="12"/>
        <v>5.8715277777777797E-2</v>
      </c>
      <c r="AI30" s="91">
        <f t="shared" si="13"/>
        <v>6.0241875000000021E-2</v>
      </c>
      <c r="AJ30" s="130">
        <v>4</v>
      </c>
      <c r="AK30" s="20">
        <v>4</v>
      </c>
      <c r="AL30" s="22">
        <f t="shared" si="5"/>
        <v>55</v>
      </c>
      <c r="AM30" s="122">
        <v>10</v>
      </c>
    </row>
  </sheetData>
  <mergeCells count="9">
    <mergeCell ref="T9:Y9"/>
    <mergeCell ref="Z9:AE9"/>
    <mergeCell ref="AF9:AL9"/>
    <mergeCell ref="A4:B4"/>
    <mergeCell ref="A5:B5"/>
    <mergeCell ref="A6:B6"/>
    <mergeCell ref="A7:B7"/>
    <mergeCell ref="H9:M9"/>
    <mergeCell ref="N9:S9"/>
  </mergeCells>
  <hyperlinks>
    <hyperlink ref="C5" r:id="rId1"/>
    <hyperlink ref="C4" r:id="rId2"/>
    <hyperlink ref="C6" r:id="rId3"/>
    <hyperlink ref="C7" r:id="rId4"/>
  </hyperlinks>
  <pageMargins left="0.7" right="0.7" top="0.75" bottom="0.75" header="0.3" footer="0.3"/>
  <pageSetup paperSize="9" orientation="portrait" horizontalDpi="0" verticalDpi="0"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3"/>
  <sheetViews>
    <sheetView workbookViewId="0">
      <selection activeCell="J4" sqref="J4"/>
    </sheetView>
  </sheetViews>
  <sheetFormatPr defaultRowHeight="14.4"/>
  <cols>
    <col min="3" max="21" width="8.83984375" customWidth="1"/>
    <col min="39" max="39" width="11.3125" customWidth="1"/>
  </cols>
  <sheetData>
    <row r="1" spans="1:39" ht="20.399999999999999">
      <c r="A1" s="117" t="s">
        <v>262</v>
      </c>
      <c r="L1" s="3"/>
      <c r="M1" s="3"/>
      <c r="R1" s="3"/>
      <c r="S1" s="3"/>
      <c r="X1" s="3"/>
      <c r="Y1" s="3"/>
      <c r="AD1" s="3"/>
      <c r="AE1" s="3"/>
      <c r="AJ1" s="3"/>
      <c r="AK1" s="3"/>
      <c r="AL1" s="3"/>
      <c r="AM1" s="97"/>
    </row>
    <row r="2" spans="1:39">
      <c r="A2" s="5" t="s">
        <v>232</v>
      </c>
      <c r="L2" s="3"/>
      <c r="M2" s="3"/>
      <c r="R2" s="3"/>
      <c r="S2" s="3"/>
      <c r="T2" t="s">
        <v>233</v>
      </c>
      <c r="X2" s="3"/>
      <c r="Y2" s="3"/>
      <c r="AD2" s="3"/>
      <c r="AE2" s="3"/>
      <c r="AJ2" s="3"/>
      <c r="AK2" s="3"/>
      <c r="AL2" s="3"/>
      <c r="AM2" s="97"/>
    </row>
    <row r="3" spans="1:39">
      <c r="A3" s="144" t="s">
        <v>252</v>
      </c>
      <c r="L3" s="3"/>
      <c r="M3" s="3"/>
      <c r="R3" s="3"/>
      <c r="S3" s="3"/>
      <c r="X3" s="3"/>
      <c r="Y3" s="3"/>
      <c r="AD3" s="3"/>
      <c r="AE3" s="3"/>
      <c r="AJ3" s="3"/>
      <c r="AK3" s="3"/>
      <c r="AL3" s="3"/>
      <c r="AM3" s="97"/>
    </row>
    <row r="4" spans="1:39">
      <c r="A4" s="197" t="s">
        <v>253</v>
      </c>
      <c r="B4" s="198"/>
      <c r="C4" s="147" t="s">
        <v>254</v>
      </c>
      <c r="L4" s="3"/>
      <c r="M4" s="3"/>
      <c r="R4" s="3"/>
      <c r="S4" s="3"/>
      <c r="X4" s="3"/>
      <c r="Y4" s="3"/>
      <c r="AD4" s="3"/>
      <c r="AE4" s="3"/>
      <c r="AJ4" s="3"/>
      <c r="AK4" s="3"/>
      <c r="AL4" s="3"/>
      <c r="AM4" s="97"/>
    </row>
    <row r="5" spans="1:39">
      <c r="A5" s="197" t="s">
        <v>255</v>
      </c>
      <c r="B5" s="198"/>
      <c r="C5" s="147" t="s">
        <v>256</v>
      </c>
      <c r="L5" s="3"/>
      <c r="M5" s="3"/>
      <c r="R5" s="3"/>
      <c r="S5" s="3"/>
      <c r="X5" s="3"/>
      <c r="Y5" s="3"/>
      <c r="AD5" s="3"/>
      <c r="AE5" s="3"/>
      <c r="AJ5" s="3"/>
      <c r="AK5" s="3"/>
      <c r="AL5" s="3"/>
      <c r="AM5" s="97"/>
    </row>
    <row r="6" spans="1:39">
      <c r="A6" s="197" t="s">
        <v>257</v>
      </c>
      <c r="B6" s="198"/>
      <c r="C6" s="147" t="s">
        <v>258</v>
      </c>
      <c r="L6" s="3"/>
      <c r="M6" s="3"/>
      <c r="R6" s="3"/>
      <c r="S6" s="3"/>
      <c r="X6" s="3"/>
      <c r="Y6" s="3"/>
      <c r="AD6" s="3"/>
      <c r="AE6" s="3"/>
      <c r="AJ6" s="3"/>
      <c r="AK6" s="3"/>
      <c r="AL6" s="3"/>
      <c r="AM6" s="97"/>
    </row>
    <row r="7" spans="1:39">
      <c r="A7" s="197" t="s">
        <v>259</v>
      </c>
      <c r="B7" s="198"/>
      <c r="C7" s="147" t="s">
        <v>260</v>
      </c>
      <c r="L7" s="3"/>
      <c r="M7" s="3"/>
      <c r="R7" s="3"/>
      <c r="S7" s="3"/>
      <c r="X7" s="3"/>
      <c r="Y7" s="3"/>
      <c r="AD7" s="3"/>
      <c r="AE7" s="3"/>
      <c r="AJ7" s="3"/>
      <c r="AK7" s="3"/>
      <c r="AL7" s="3"/>
      <c r="AM7" s="97"/>
    </row>
    <row r="8" spans="1:39">
      <c r="A8" s="145"/>
      <c r="B8" s="146"/>
      <c r="C8" s="147"/>
      <c r="L8" s="3"/>
      <c r="M8" s="3"/>
      <c r="R8" s="3"/>
      <c r="S8" s="3"/>
      <c r="X8" s="3"/>
      <c r="Y8" s="3"/>
      <c r="AD8" s="3"/>
      <c r="AE8" s="3"/>
      <c r="AJ8" s="3"/>
      <c r="AK8" s="3"/>
      <c r="AL8" s="3"/>
      <c r="AM8" s="97"/>
    </row>
    <row r="9" spans="1:39">
      <c r="A9" s="55"/>
      <c r="H9" s="196" t="s">
        <v>247</v>
      </c>
      <c r="I9" s="196"/>
      <c r="J9" s="196"/>
      <c r="K9" s="196"/>
      <c r="L9" s="196"/>
      <c r="M9" s="196"/>
      <c r="N9" s="196" t="s">
        <v>248</v>
      </c>
      <c r="O9" s="196"/>
      <c r="P9" s="196"/>
      <c r="Q9" s="196"/>
      <c r="R9" s="196"/>
      <c r="S9" s="196"/>
      <c r="T9" s="196" t="s">
        <v>249</v>
      </c>
      <c r="U9" s="196"/>
      <c r="V9" s="196"/>
      <c r="W9" s="196"/>
      <c r="X9" s="196"/>
      <c r="Y9" s="196"/>
      <c r="Z9" s="196" t="s">
        <v>250</v>
      </c>
      <c r="AA9" s="196"/>
      <c r="AB9" s="196"/>
      <c r="AC9" s="196"/>
      <c r="AD9" s="196"/>
      <c r="AE9" s="196"/>
      <c r="AF9" s="196" t="s">
        <v>251</v>
      </c>
      <c r="AG9" s="196"/>
      <c r="AH9" s="196"/>
      <c r="AI9" s="196"/>
      <c r="AJ9" s="196"/>
      <c r="AK9" s="196"/>
      <c r="AL9" s="196"/>
      <c r="AM9" s="97"/>
    </row>
    <row r="10" spans="1:39" ht="54.9">
      <c r="A10" s="78" t="s">
        <v>1</v>
      </c>
      <c r="B10" s="78" t="s">
        <v>2</v>
      </c>
      <c r="C10" s="78" t="s">
        <v>3</v>
      </c>
      <c r="D10" s="78" t="s">
        <v>4</v>
      </c>
      <c r="E10" s="78" t="s">
        <v>5</v>
      </c>
      <c r="F10" s="78" t="s">
        <v>201</v>
      </c>
      <c r="G10" s="118" t="s">
        <v>56</v>
      </c>
      <c r="H10" s="78" t="s">
        <v>57</v>
      </c>
      <c r="I10" s="78" t="s">
        <v>59</v>
      </c>
      <c r="J10" s="78" t="s">
        <v>60</v>
      </c>
      <c r="K10" s="78" t="s">
        <v>202</v>
      </c>
      <c r="L10" s="78" t="s">
        <v>203</v>
      </c>
      <c r="M10" s="78" t="s">
        <v>7</v>
      </c>
      <c r="N10" s="78" t="s">
        <v>57</v>
      </c>
      <c r="O10" s="78" t="s">
        <v>59</v>
      </c>
      <c r="P10" s="78" t="s">
        <v>60</v>
      </c>
      <c r="Q10" s="78" t="s">
        <v>202</v>
      </c>
      <c r="R10" s="78" t="s">
        <v>203</v>
      </c>
      <c r="S10" s="78" t="s">
        <v>7</v>
      </c>
      <c r="T10" s="78" t="s">
        <v>57</v>
      </c>
      <c r="U10" s="78" t="s">
        <v>59</v>
      </c>
      <c r="V10" s="78" t="s">
        <v>60</v>
      </c>
      <c r="W10" s="78" t="s">
        <v>202</v>
      </c>
      <c r="X10" s="78" t="s">
        <v>203</v>
      </c>
      <c r="Y10" s="78" t="s">
        <v>7</v>
      </c>
      <c r="Z10" s="78" t="s">
        <v>57</v>
      </c>
      <c r="AA10" s="78" t="s">
        <v>59</v>
      </c>
      <c r="AB10" s="78" t="s">
        <v>60</v>
      </c>
      <c r="AC10" s="78" t="s">
        <v>202</v>
      </c>
      <c r="AD10" s="78" t="s">
        <v>203</v>
      </c>
      <c r="AE10" s="78" t="s">
        <v>7</v>
      </c>
      <c r="AF10" s="78" t="s">
        <v>57</v>
      </c>
      <c r="AG10" s="78" t="s">
        <v>59</v>
      </c>
      <c r="AH10" s="78" t="s">
        <v>60</v>
      </c>
      <c r="AI10" s="78" t="s">
        <v>202</v>
      </c>
      <c r="AJ10" s="78" t="s">
        <v>203</v>
      </c>
      <c r="AK10" s="78" t="s">
        <v>7</v>
      </c>
      <c r="AL10" s="119" t="s">
        <v>234</v>
      </c>
      <c r="AM10" s="120" t="s">
        <v>235</v>
      </c>
    </row>
    <row r="11" spans="1:39">
      <c r="A11" s="87" t="s">
        <v>14</v>
      </c>
      <c r="B11" s="11"/>
      <c r="C11" s="11"/>
      <c r="D11" s="88"/>
      <c r="E11" s="13"/>
      <c r="F11" s="13"/>
      <c r="G11" s="89"/>
      <c r="H11" s="11"/>
      <c r="I11" s="11"/>
      <c r="J11" s="11"/>
      <c r="K11" s="11"/>
      <c r="L11" s="13"/>
      <c r="M11" s="13"/>
      <c r="N11" s="11"/>
      <c r="O11" s="11"/>
      <c r="P11" s="11"/>
      <c r="Q11" s="11"/>
      <c r="R11" s="13"/>
      <c r="S11" s="13"/>
      <c r="T11" s="11"/>
      <c r="U11" s="11"/>
      <c r="V11" s="11"/>
      <c r="W11" s="11"/>
      <c r="X11" s="13"/>
      <c r="Y11" s="13"/>
      <c r="Z11" s="11"/>
      <c r="AA11" s="11"/>
      <c r="AB11" s="11"/>
      <c r="AC11" s="11"/>
      <c r="AD11" s="13"/>
      <c r="AE11" s="13"/>
      <c r="AF11" s="11"/>
      <c r="AG11" s="11"/>
      <c r="AH11" s="11"/>
      <c r="AI11" s="11"/>
      <c r="AJ11" s="13"/>
      <c r="AK11" s="13"/>
      <c r="AL11" s="121"/>
      <c r="AM11" s="122"/>
    </row>
    <row r="12" spans="1:39">
      <c r="A12" s="90" t="s">
        <v>125</v>
      </c>
      <c r="B12" s="90" t="s">
        <v>204</v>
      </c>
      <c r="C12" s="20" t="s">
        <v>205</v>
      </c>
      <c r="D12" s="20" t="s">
        <v>206</v>
      </c>
      <c r="E12" s="38">
        <v>0.86899999999999999</v>
      </c>
      <c r="F12" s="100">
        <v>0.93400000000000005</v>
      </c>
      <c r="G12" s="22" t="s">
        <v>26</v>
      </c>
      <c r="H12" s="91">
        <f>TIME(10,0,0)</f>
        <v>0.41666666666666669</v>
      </c>
      <c r="I12" s="91">
        <f>TIME(12,6,39)</f>
        <v>0.50461805555555561</v>
      </c>
      <c r="J12" s="91">
        <f>I12-H12</f>
        <v>8.7951388888888926E-2</v>
      </c>
      <c r="K12" s="91">
        <f t="shared" ref="K12:K18" si="0">J12*E12</f>
        <v>7.6429756944444482E-2</v>
      </c>
      <c r="L12" s="123">
        <v>3</v>
      </c>
      <c r="M12" s="20"/>
      <c r="N12" s="91">
        <f>TIME(10,0,0)</f>
        <v>0.41666666666666669</v>
      </c>
      <c r="O12" s="91">
        <f>TIME(11,57,35)</f>
        <v>0.49832175925925926</v>
      </c>
      <c r="P12" s="91">
        <f t="shared" ref="P12:P18" si="1">O12-N12</f>
        <v>8.1655092592592571E-2</v>
      </c>
      <c r="Q12" s="91">
        <f>P12*E12</f>
        <v>7.0958275462962947E-2</v>
      </c>
      <c r="R12" s="20">
        <v>2</v>
      </c>
      <c r="S12" s="20">
        <v>2</v>
      </c>
      <c r="T12" s="91">
        <f t="shared" ref="T12:T18" si="2">TIME(10,0,0)</f>
        <v>0.41666666666666669</v>
      </c>
      <c r="U12" s="91">
        <f>TIME(12,1,42)</f>
        <v>0.50118055555555563</v>
      </c>
      <c r="V12" s="91">
        <f t="shared" ref="V12:V18" si="3">U12-T12</f>
        <v>8.4513888888888944E-2</v>
      </c>
      <c r="W12" s="91">
        <f>V12*E12</f>
        <v>7.3442569444444494E-2</v>
      </c>
      <c r="X12" s="20">
        <v>2</v>
      </c>
      <c r="Y12" s="20">
        <v>2</v>
      </c>
      <c r="Z12" s="91">
        <f t="shared" ref="Z12:Z18" si="4">TIME(10,0,0)</f>
        <v>0.41666666666666669</v>
      </c>
      <c r="AA12" s="91">
        <f>TIME(12,49,20)</f>
        <v>0.53425925925925932</v>
      </c>
      <c r="AB12" s="91">
        <f>AA12-Z12</f>
        <v>0.11759259259259264</v>
      </c>
      <c r="AC12" s="91">
        <f>AB12*E12</f>
        <v>0.10218796296296301</v>
      </c>
      <c r="AD12" s="20">
        <v>1</v>
      </c>
      <c r="AE12" s="20">
        <v>1</v>
      </c>
      <c r="AF12" s="91">
        <f t="shared" ref="AF12:AF33" si="5">TIME(10,0,0)</f>
        <v>0.41666666666666669</v>
      </c>
      <c r="AG12" s="91">
        <f>TIME(11,38,40)</f>
        <v>0.48518518518518516</v>
      </c>
      <c r="AH12" s="91">
        <f>AG12-AF12</f>
        <v>6.8518518518518479E-2</v>
      </c>
      <c r="AI12" s="91">
        <f t="shared" ref="AI12:AI18" si="6">AH12*E12</f>
        <v>5.9542592592592557E-2</v>
      </c>
      <c r="AJ12" s="20">
        <v>3</v>
      </c>
      <c r="AK12" s="20">
        <v>3</v>
      </c>
      <c r="AL12" s="22">
        <f>M12+S12+Y12+AE12+AK12</f>
        <v>8</v>
      </c>
      <c r="AM12" s="122">
        <v>3</v>
      </c>
    </row>
    <row r="13" spans="1:39">
      <c r="A13" s="92" t="s">
        <v>62</v>
      </c>
      <c r="B13" s="92" t="s">
        <v>63</v>
      </c>
      <c r="C13" s="38" t="s">
        <v>64</v>
      </c>
      <c r="D13" s="38">
        <v>545</v>
      </c>
      <c r="E13" s="38">
        <v>0.85899999999999999</v>
      </c>
      <c r="F13" s="100">
        <v>0.86599999999999999</v>
      </c>
      <c r="G13" s="38" t="s">
        <v>86</v>
      </c>
      <c r="H13" s="91">
        <f t="shared" ref="H13:H18" si="7">TIME(10,0,0)</f>
        <v>0.41666666666666669</v>
      </c>
      <c r="I13" s="91">
        <f>TIME(12,22,20)</f>
        <v>0.51550925925925928</v>
      </c>
      <c r="J13" s="91">
        <f t="shared" ref="J13:J30" si="8">I13-H13</f>
        <v>9.8842592592592593E-2</v>
      </c>
      <c r="K13" s="91">
        <f t="shared" si="0"/>
        <v>8.4905787037037037E-2</v>
      </c>
      <c r="L13" s="38">
        <v>5</v>
      </c>
      <c r="M13" s="38">
        <v>5</v>
      </c>
      <c r="N13" s="83" t="s">
        <v>214</v>
      </c>
      <c r="O13" s="83" t="s">
        <v>214</v>
      </c>
      <c r="P13" s="83" t="s">
        <v>214</v>
      </c>
      <c r="Q13" s="83" t="s">
        <v>214</v>
      </c>
      <c r="R13" s="123" t="s">
        <v>214</v>
      </c>
      <c r="S13" s="38"/>
      <c r="T13" s="91">
        <f t="shared" si="2"/>
        <v>0.41666666666666669</v>
      </c>
      <c r="U13" s="83" t="s">
        <v>156</v>
      </c>
      <c r="V13" s="83" t="s">
        <v>156</v>
      </c>
      <c r="W13" s="83" t="s">
        <v>156</v>
      </c>
      <c r="X13" s="38" t="s">
        <v>156</v>
      </c>
      <c r="Y13" s="38">
        <v>8</v>
      </c>
      <c r="Z13" s="91">
        <f t="shared" si="4"/>
        <v>0.41666666666666669</v>
      </c>
      <c r="AA13" s="91">
        <f>TIME(13,11,30)</f>
        <v>0.54965277777777777</v>
      </c>
      <c r="AB13" s="91">
        <f>AA13-Z13</f>
        <v>0.13298611111111108</v>
      </c>
      <c r="AC13" s="91">
        <f>AB13*E13</f>
        <v>0.11423506944444442</v>
      </c>
      <c r="AD13" s="38">
        <v>4</v>
      </c>
      <c r="AE13" s="38">
        <v>4</v>
      </c>
      <c r="AF13" s="124" t="s">
        <v>214</v>
      </c>
      <c r="AG13" s="124" t="s">
        <v>214</v>
      </c>
      <c r="AH13" s="124" t="s">
        <v>214</v>
      </c>
      <c r="AI13" s="124" t="s">
        <v>214</v>
      </c>
      <c r="AJ13" s="38" t="s">
        <v>214</v>
      </c>
      <c r="AK13" s="38">
        <v>8</v>
      </c>
      <c r="AL13" s="22">
        <f t="shared" ref="AL13:AL33" si="9">M13+S13+Y13+AE13+AK13</f>
        <v>25</v>
      </c>
      <c r="AM13" s="122">
        <v>7</v>
      </c>
    </row>
    <row r="14" spans="1:39">
      <c r="A14" s="90" t="s">
        <v>17</v>
      </c>
      <c r="B14" s="90" t="s">
        <v>18</v>
      </c>
      <c r="C14" s="20" t="s">
        <v>19</v>
      </c>
      <c r="D14" s="20">
        <v>185</v>
      </c>
      <c r="E14" s="20">
        <v>0.94099999999999995</v>
      </c>
      <c r="F14" s="100">
        <v>0.96099999999999997</v>
      </c>
      <c r="G14" s="22" t="s">
        <v>20</v>
      </c>
      <c r="H14" s="91">
        <f t="shared" si="7"/>
        <v>0.41666666666666669</v>
      </c>
      <c r="I14" s="91">
        <f>TIME(12,32,22)</f>
        <v>0.52247685185185189</v>
      </c>
      <c r="J14" s="91">
        <f t="shared" si="8"/>
        <v>0.1058101851851852</v>
      </c>
      <c r="K14" s="91">
        <f t="shared" si="0"/>
        <v>9.9567384259259276E-2</v>
      </c>
      <c r="L14" s="123">
        <v>7</v>
      </c>
      <c r="M14" s="20"/>
      <c r="N14" s="91">
        <f>TIME(10,0,0)</f>
        <v>0.41666666666666669</v>
      </c>
      <c r="O14" s="91">
        <f>TIME(12,20,2)</f>
        <v>0.51391203703703703</v>
      </c>
      <c r="P14" s="91">
        <f t="shared" si="1"/>
        <v>9.7245370370370343E-2</v>
      </c>
      <c r="Q14" s="91">
        <f>P14*E14</f>
        <v>9.1507893518518485E-2</v>
      </c>
      <c r="R14" s="20">
        <v>5</v>
      </c>
      <c r="S14" s="20">
        <v>5</v>
      </c>
      <c r="T14" s="91">
        <f t="shared" si="2"/>
        <v>0.41666666666666669</v>
      </c>
      <c r="U14" s="91">
        <f>TIME(12,21,15)</f>
        <v>0.51475694444444442</v>
      </c>
      <c r="V14" s="91">
        <f t="shared" si="3"/>
        <v>9.8090277777777735E-2</v>
      </c>
      <c r="W14" s="91">
        <f>V14*E14</f>
        <v>9.2302951388888846E-2</v>
      </c>
      <c r="X14" s="20">
        <v>6</v>
      </c>
      <c r="Y14" s="20">
        <v>6</v>
      </c>
      <c r="Z14" s="91">
        <f t="shared" si="4"/>
        <v>0.41666666666666669</v>
      </c>
      <c r="AA14" s="91">
        <f>TIME(13,21,8)</f>
        <v>0.55634259259259256</v>
      </c>
      <c r="AB14" s="91">
        <f>AA14-Z14</f>
        <v>0.13967592592592587</v>
      </c>
      <c r="AC14" s="91">
        <f>AB14*E14</f>
        <v>0.13143504629629624</v>
      </c>
      <c r="AD14" s="20">
        <v>6</v>
      </c>
      <c r="AE14" s="20">
        <v>6</v>
      </c>
      <c r="AF14" s="91">
        <f t="shared" si="5"/>
        <v>0.41666666666666669</v>
      </c>
      <c r="AG14" s="91">
        <f>TIME(11,47,2)</f>
        <v>0.49099537037037039</v>
      </c>
      <c r="AH14" s="91">
        <f t="shared" ref="AH14:AH33" si="10">AG14-AF14</f>
        <v>7.4328703703703702E-2</v>
      </c>
      <c r="AI14" s="91">
        <f t="shared" si="6"/>
        <v>6.9943310185185181E-2</v>
      </c>
      <c r="AJ14" s="20">
        <v>6</v>
      </c>
      <c r="AK14" s="20">
        <v>6</v>
      </c>
      <c r="AL14" s="22">
        <f t="shared" si="9"/>
        <v>23</v>
      </c>
      <c r="AM14" s="122">
        <v>5</v>
      </c>
    </row>
    <row r="15" spans="1:39">
      <c r="A15" s="90" t="s">
        <v>66</v>
      </c>
      <c r="B15" s="90" t="s">
        <v>67</v>
      </c>
      <c r="C15" s="20" t="s">
        <v>15</v>
      </c>
      <c r="D15" s="20" t="s">
        <v>68</v>
      </c>
      <c r="E15" s="20">
        <v>0.876</v>
      </c>
      <c r="F15" s="100">
        <v>0.92400000000000004</v>
      </c>
      <c r="G15" s="22" t="s">
        <v>20</v>
      </c>
      <c r="H15" s="91">
        <f t="shared" si="7"/>
        <v>0.41666666666666669</v>
      </c>
      <c r="I15" s="91">
        <f>TIME(12,13,3)</f>
        <v>0.50906249999999997</v>
      </c>
      <c r="J15" s="91">
        <f t="shared" si="8"/>
        <v>9.2395833333333288E-2</v>
      </c>
      <c r="K15" s="91">
        <f t="shared" si="0"/>
        <v>8.0938749999999962E-2</v>
      </c>
      <c r="L15" s="20">
        <v>4</v>
      </c>
      <c r="M15" s="20">
        <v>4</v>
      </c>
      <c r="N15" s="91">
        <f>TIME(10,0,0)</f>
        <v>0.41666666666666669</v>
      </c>
      <c r="O15" s="91">
        <f>TIME(11,58,7)</f>
        <v>0.49869212962962961</v>
      </c>
      <c r="P15" s="91">
        <f t="shared" si="1"/>
        <v>8.2025462962962925E-2</v>
      </c>
      <c r="Q15" s="91">
        <f>P15*E15</f>
        <v>7.1854305555555525E-2</v>
      </c>
      <c r="R15" s="20">
        <v>3</v>
      </c>
      <c r="S15" s="20">
        <v>3</v>
      </c>
      <c r="T15" s="91">
        <f t="shared" si="2"/>
        <v>0.41666666666666669</v>
      </c>
      <c r="U15" s="91">
        <f>TIME(12,6,29)</f>
        <v>0.50450231481481478</v>
      </c>
      <c r="V15" s="91">
        <f t="shared" si="3"/>
        <v>8.7835648148148093E-2</v>
      </c>
      <c r="W15" s="91">
        <f>V15*E15</f>
        <v>7.6944027777777729E-2</v>
      </c>
      <c r="X15" s="20">
        <v>4</v>
      </c>
      <c r="Y15" s="20">
        <v>4.5</v>
      </c>
      <c r="Z15" s="91">
        <f t="shared" si="4"/>
        <v>0.41666666666666669</v>
      </c>
      <c r="AA15" s="91">
        <f>TIME(13,8,37)</f>
        <v>0.54765046296296294</v>
      </c>
      <c r="AB15" s="91">
        <f>AA15-Z15</f>
        <v>0.13098379629629625</v>
      </c>
      <c r="AC15" s="91">
        <f>AB15*E15</f>
        <v>0.11474180555555552</v>
      </c>
      <c r="AD15" s="123">
        <v>5</v>
      </c>
      <c r="AE15" s="20"/>
      <c r="AF15" s="91">
        <f t="shared" si="5"/>
        <v>0.41666666666666669</v>
      </c>
      <c r="AG15" s="91">
        <f>TIME(11,38,8)</f>
        <v>0.48481481481481481</v>
      </c>
      <c r="AH15" s="91">
        <f t="shared" si="10"/>
        <v>6.8148148148148124E-2</v>
      </c>
      <c r="AI15" s="91">
        <f t="shared" si="6"/>
        <v>5.9697777777777759E-2</v>
      </c>
      <c r="AJ15" s="20">
        <v>4</v>
      </c>
      <c r="AK15" s="20">
        <v>4</v>
      </c>
      <c r="AL15" s="22">
        <f t="shared" si="9"/>
        <v>15.5</v>
      </c>
      <c r="AM15" s="122">
        <v>4</v>
      </c>
    </row>
    <row r="16" spans="1:39">
      <c r="A16" s="90" t="s">
        <v>22</v>
      </c>
      <c r="B16" s="90" t="s">
        <v>23</v>
      </c>
      <c r="C16" s="20" t="s">
        <v>24</v>
      </c>
      <c r="D16" s="20" t="s">
        <v>25</v>
      </c>
      <c r="E16" s="20">
        <v>0.96</v>
      </c>
      <c r="F16" s="100">
        <v>0.97</v>
      </c>
      <c r="G16" s="22" t="s">
        <v>26</v>
      </c>
      <c r="H16" s="91">
        <f t="shared" si="7"/>
        <v>0.41666666666666669</v>
      </c>
      <c r="I16" s="91">
        <f>TIME(11,52,6)</f>
        <v>0.49451388888888892</v>
      </c>
      <c r="J16" s="91">
        <f t="shared" si="8"/>
        <v>7.7847222222222234E-2</v>
      </c>
      <c r="K16" s="91">
        <f t="shared" si="0"/>
        <v>7.4733333333333346E-2</v>
      </c>
      <c r="L16" s="20">
        <v>2</v>
      </c>
      <c r="M16" s="20">
        <v>2</v>
      </c>
      <c r="N16" s="91">
        <f>TIME(10,0,0)</f>
        <v>0.41666666666666669</v>
      </c>
      <c r="O16" s="91">
        <f>TIME(11,44,30)</f>
        <v>0.48923611111111115</v>
      </c>
      <c r="P16" s="91">
        <f t="shared" si="1"/>
        <v>7.2569444444444464E-2</v>
      </c>
      <c r="Q16" s="91">
        <f>P16*E16</f>
        <v>6.9666666666666682E-2</v>
      </c>
      <c r="R16" s="20">
        <v>1</v>
      </c>
      <c r="S16" s="20">
        <v>1</v>
      </c>
      <c r="T16" s="91">
        <f t="shared" si="2"/>
        <v>0.41666666666666669</v>
      </c>
      <c r="U16" s="91">
        <f>TIME(11,45,48)</f>
        <v>0.4901388888888889</v>
      </c>
      <c r="V16" s="91">
        <f t="shared" si="3"/>
        <v>7.3472222222222217E-2</v>
      </c>
      <c r="W16" s="91">
        <f>V16*E16</f>
        <v>7.0533333333333323E-2</v>
      </c>
      <c r="X16" s="20">
        <v>1</v>
      </c>
      <c r="Y16" s="20">
        <v>1</v>
      </c>
      <c r="Z16" s="91">
        <f t="shared" si="4"/>
        <v>0.41666666666666669</v>
      </c>
      <c r="AA16" s="91">
        <f>TIME(12,41,40)</f>
        <v>0.52893518518518523</v>
      </c>
      <c r="AB16" s="91">
        <f>AA16-Z16</f>
        <v>0.11226851851851855</v>
      </c>
      <c r="AC16" s="91">
        <f>AB16*E16</f>
        <v>0.10777777777777781</v>
      </c>
      <c r="AD16" s="123">
        <v>3</v>
      </c>
      <c r="AE16" s="20"/>
      <c r="AF16" s="91">
        <f t="shared" si="5"/>
        <v>0.41666666666666669</v>
      </c>
      <c r="AG16" s="91">
        <f>TIME(11,25,29)</f>
        <v>0.4760300925925926</v>
      </c>
      <c r="AH16" s="91">
        <f t="shared" si="10"/>
        <v>5.9363425925925917E-2</v>
      </c>
      <c r="AI16" s="91">
        <f t="shared" si="6"/>
        <v>5.6988888888888881E-2</v>
      </c>
      <c r="AJ16" s="20">
        <v>2</v>
      </c>
      <c r="AK16" s="20">
        <v>2</v>
      </c>
      <c r="AL16" s="22">
        <f t="shared" si="9"/>
        <v>6</v>
      </c>
      <c r="AM16" s="122">
        <v>1</v>
      </c>
    </row>
    <row r="17" spans="1:39">
      <c r="A17" s="90" t="s">
        <v>70</v>
      </c>
      <c r="B17" s="90" t="s">
        <v>71</v>
      </c>
      <c r="C17" s="20" t="s">
        <v>72</v>
      </c>
      <c r="D17" s="20" t="s">
        <v>73</v>
      </c>
      <c r="E17" s="20">
        <v>0.995</v>
      </c>
      <c r="F17" s="100">
        <v>1.014</v>
      </c>
      <c r="G17" s="22" t="s">
        <v>26</v>
      </c>
      <c r="H17" s="91">
        <f t="shared" si="7"/>
        <v>0.41666666666666669</v>
      </c>
      <c r="I17" s="93">
        <f>TIME(12,10,0)</f>
        <v>0.50694444444444442</v>
      </c>
      <c r="J17" s="91">
        <f t="shared" si="8"/>
        <v>9.0277777777777735E-2</v>
      </c>
      <c r="K17" s="91">
        <f t="shared" si="0"/>
        <v>8.9826388888888845E-2</v>
      </c>
      <c r="L17" s="20">
        <v>6</v>
      </c>
      <c r="M17" s="20">
        <v>6</v>
      </c>
      <c r="N17" s="83" t="s">
        <v>214</v>
      </c>
      <c r="O17" s="83" t="s">
        <v>214</v>
      </c>
      <c r="P17" s="83" t="s">
        <v>214</v>
      </c>
      <c r="Q17" s="83" t="s">
        <v>214</v>
      </c>
      <c r="R17" s="123" t="s">
        <v>214</v>
      </c>
      <c r="S17" s="20"/>
      <c r="T17" s="91">
        <f t="shared" si="2"/>
        <v>0.41666666666666669</v>
      </c>
      <c r="U17" s="91">
        <f>TIME(11,51,21)</f>
        <v>0.49399305555555556</v>
      </c>
      <c r="V17" s="91">
        <f t="shared" si="3"/>
        <v>7.7326388888888875E-2</v>
      </c>
      <c r="W17" s="91">
        <f>V17*E17</f>
        <v>7.6939756944444423E-2</v>
      </c>
      <c r="X17" s="13">
        <v>4</v>
      </c>
      <c r="Y17" s="20">
        <v>4.5</v>
      </c>
      <c r="Z17" s="91">
        <f t="shared" si="4"/>
        <v>0.41666666666666669</v>
      </c>
      <c r="AA17" s="124" t="s">
        <v>156</v>
      </c>
      <c r="AB17" s="124" t="s">
        <v>156</v>
      </c>
      <c r="AC17" s="124" t="s">
        <v>156</v>
      </c>
      <c r="AD17" s="13" t="s">
        <v>156</v>
      </c>
      <c r="AE17" s="20">
        <v>8</v>
      </c>
      <c r="AF17" s="91">
        <f t="shared" si="5"/>
        <v>0.41666666666666669</v>
      </c>
      <c r="AG17" s="91">
        <f>TIME(11,28,20)</f>
        <v>0.47800925925925924</v>
      </c>
      <c r="AH17" s="91">
        <f t="shared" si="10"/>
        <v>6.134259259259256E-2</v>
      </c>
      <c r="AI17" s="91">
        <f t="shared" si="6"/>
        <v>6.10358796296296E-2</v>
      </c>
      <c r="AJ17" s="13">
        <v>5</v>
      </c>
      <c r="AK17" s="20">
        <v>5</v>
      </c>
      <c r="AL17" s="22">
        <f t="shared" si="9"/>
        <v>23.5</v>
      </c>
      <c r="AM17" s="122">
        <v>6</v>
      </c>
    </row>
    <row r="18" spans="1:39">
      <c r="A18" s="90" t="s">
        <v>75</v>
      </c>
      <c r="B18" s="90" t="s">
        <v>76</v>
      </c>
      <c r="C18" s="20" t="s">
        <v>77</v>
      </c>
      <c r="D18" s="20" t="s">
        <v>78</v>
      </c>
      <c r="E18" s="38">
        <v>1.014</v>
      </c>
      <c r="F18" s="100">
        <v>1.012</v>
      </c>
      <c r="G18" s="22" t="s">
        <v>26</v>
      </c>
      <c r="H18" s="91">
        <f t="shared" si="7"/>
        <v>0.41666666666666669</v>
      </c>
      <c r="I18" s="91">
        <f>TIME(11,45,10)</f>
        <v>0.48969907407407409</v>
      </c>
      <c r="J18" s="94">
        <f t="shared" si="8"/>
        <v>7.3032407407407407E-2</v>
      </c>
      <c r="K18" s="91">
        <f t="shared" si="0"/>
        <v>7.4054861111111106E-2</v>
      </c>
      <c r="L18" s="20">
        <v>1</v>
      </c>
      <c r="M18" s="20">
        <v>1</v>
      </c>
      <c r="N18" s="91">
        <f>TIME(10,0,0)</f>
        <v>0.41666666666666669</v>
      </c>
      <c r="O18" s="91">
        <f>TIME(11,42,50)</f>
        <v>0.48807870370370371</v>
      </c>
      <c r="P18" s="94">
        <f t="shared" si="1"/>
        <v>7.1412037037037024E-2</v>
      </c>
      <c r="Q18" s="91">
        <f>P18*E18</f>
        <v>7.2411805555555542E-2</v>
      </c>
      <c r="R18" s="123">
        <v>4</v>
      </c>
      <c r="S18" s="20"/>
      <c r="T18" s="91">
        <f t="shared" si="2"/>
        <v>0.41666666666666669</v>
      </c>
      <c r="U18" s="91">
        <f>TIME(11,49,2)</f>
        <v>0.49238425925925927</v>
      </c>
      <c r="V18" s="94">
        <f t="shared" si="3"/>
        <v>7.5717592592592586E-2</v>
      </c>
      <c r="W18" s="91">
        <f>V18*E18</f>
        <v>7.6777638888888888E-2</v>
      </c>
      <c r="X18" s="20">
        <v>3</v>
      </c>
      <c r="Y18" s="20">
        <v>3</v>
      </c>
      <c r="Z18" s="91">
        <f t="shared" si="4"/>
        <v>0.41666666666666669</v>
      </c>
      <c r="AA18" s="93">
        <f>TIME(12,29,37)</f>
        <v>0.52056712962962959</v>
      </c>
      <c r="AB18" s="94">
        <f>AA18-Z18</f>
        <v>0.1039004629629629</v>
      </c>
      <c r="AC18" s="91">
        <f>AB18*E18</f>
        <v>0.10535506944444438</v>
      </c>
      <c r="AD18" s="20">
        <v>2</v>
      </c>
      <c r="AE18" s="20">
        <v>2</v>
      </c>
      <c r="AF18" s="94">
        <f t="shared" si="5"/>
        <v>0.41666666666666669</v>
      </c>
      <c r="AG18" s="94">
        <f>TIME(11,18,35)</f>
        <v>0.47123842592592591</v>
      </c>
      <c r="AH18" s="94">
        <f t="shared" si="10"/>
        <v>5.4571759259259223E-2</v>
      </c>
      <c r="AI18" s="91">
        <f t="shared" si="6"/>
        <v>5.5335763888888855E-2</v>
      </c>
      <c r="AJ18" s="20">
        <v>1</v>
      </c>
      <c r="AK18" s="20">
        <v>1</v>
      </c>
      <c r="AL18" s="125">
        <f t="shared" si="9"/>
        <v>7</v>
      </c>
      <c r="AM18" s="122">
        <v>2</v>
      </c>
    </row>
    <row r="19" spans="1:39">
      <c r="A19" s="4"/>
      <c r="B19" s="4"/>
      <c r="C19" s="7"/>
      <c r="D19" s="7"/>
      <c r="E19" s="6"/>
      <c r="F19" s="7"/>
      <c r="G19" s="7"/>
      <c r="H19" s="4"/>
      <c r="I19" s="58"/>
      <c r="J19" s="95"/>
      <c r="K19" s="96"/>
      <c r="L19" s="7"/>
      <c r="M19" s="7"/>
      <c r="N19" s="4"/>
      <c r="O19" s="58"/>
      <c r="P19" s="95"/>
      <c r="Q19" s="96"/>
      <c r="R19" s="7"/>
      <c r="S19" s="7"/>
      <c r="T19" s="4"/>
      <c r="U19" s="58"/>
      <c r="V19" s="95"/>
      <c r="W19" s="96"/>
      <c r="X19" s="7"/>
      <c r="Y19" s="7"/>
      <c r="Z19" s="4"/>
      <c r="AA19" s="58"/>
      <c r="AB19" s="95"/>
      <c r="AC19" s="96"/>
      <c r="AD19" s="7"/>
      <c r="AE19" s="7"/>
      <c r="AF19" s="95"/>
      <c r="AG19" s="95"/>
      <c r="AH19" s="95"/>
      <c r="AI19" s="96"/>
      <c r="AJ19" s="7"/>
      <c r="AK19" s="7"/>
      <c r="AL19" s="126"/>
      <c r="AM19" s="122"/>
    </row>
    <row r="20" spans="1:39">
      <c r="C20" s="3"/>
      <c r="D20" s="3"/>
      <c r="E20" s="3"/>
      <c r="F20" s="3"/>
      <c r="G20" s="3"/>
      <c r="I20" s="8"/>
      <c r="J20" s="98"/>
      <c r="K20" s="96"/>
      <c r="L20" s="3"/>
      <c r="M20" s="3"/>
      <c r="O20" s="8"/>
      <c r="P20" s="98"/>
      <c r="Q20" s="96"/>
      <c r="R20" s="3"/>
      <c r="S20" s="3"/>
      <c r="U20" s="8"/>
      <c r="V20" s="98"/>
      <c r="W20" s="96"/>
      <c r="X20" s="3"/>
      <c r="Y20" s="3"/>
      <c r="AA20" s="8"/>
      <c r="AB20" s="98"/>
      <c r="AC20" s="96"/>
      <c r="AD20" s="3"/>
      <c r="AE20" s="3"/>
      <c r="AF20" s="98"/>
      <c r="AG20" s="98"/>
      <c r="AH20" s="98"/>
      <c r="AI20" s="96"/>
      <c r="AJ20" s="3"/>
      <c r="AK20" s="3"/>
      <c r="AL20" s="127"/>
      <c r="AM20" s="122"/>
    </row>
    <row r="21" spans="1:39">
      <c r="A21" s="87" t="s">
        <v>87</v>
      </c>
      <c r="B21" s="11"/>
      <c r="C21" s="13"/>
      <c r="D21" s="13"/>
      <c r="E21" s="13"/>
      <c r="F21" s="13"/>
      <c r="G21" s="13"/>
      <c r="H21" s="11"/>
      <c r="I21" s="11"/>
      <c r="J21" s="99"/>
      <c r="K21" s="91"/>
      <c r="L21" s="13"/>
      <c r="M21" s="13"/>
      <c r="N21" s="11"/>
      <c r="O21" s="11"/>
      <c r="P21" s="99"/>
      <c r="Q21" s="91"/>
      <c r="R21" s="13"/>
      <c r="S21" s="13"/>
      <c r="T21" s="11"/>
      <c r="U21" s="11"/>
      <c r="V21" s="99"/>
      <c r="W21" s="91"/>
      <c r="X21" s="13"/>
      <c r="Y21" s="13"/>
      <c r="Z21" s="11"/>
      <c r="AA21" s="11"/>
      <c r="AB21" s="99"/>
      <c r="AC21" s="91"/>
      <c r="AD21" s="13"/>
      <c r="AE21" s="13"/>
      <c r="AF21" s="99"/>
      <c r="AG21" s="99"/>
      <c r="AH21" s="99"/>
      <c r="AI21" s="91"/>
      <c r="AJ21" s="13"/>
      <c r="AK21" s="13"/>
      <c r="AL21" s="128"/>
      <c r="AM21" s="122"/>
    </row>
    <row r="22" spans="1:39">
      <c r="A22" s="90" t="s">
        <v>88</v>
      </c>
      <c r="B22" s="90" t="s">
        <v>89</v>
      </c>
      <c r="C22" s="20" t="s">
        <v>90</v>
      </c>
      <c r="D22" s="20" t="s">
        <v>91</v>
      </c>
      <c r="E22" s="20"/>
      <c r="F22" s="20">
        <v>0.98799999999999999</v>
      </c>
      <c r="G22" s="20" t="s">
        <v>26</v>
      </c>
      <c r="H22" s="101">
        <f t="shared" ref="H22:H29" si="11">TIME(10,0,0)</f>
        <v>0.41666666666666669</v>
      </c>
      <c r="I22" s="91">
        <f>TIME(12,12,20)</f>
        <v>0.50856481481481486</v>
      </c>
      <c r="J22" s="91">
        <f t="shared" si="8"/>
        <v>9.1898148148148173E-2</v>
      </c>
      <c r="K22" s="91">
        <f>J22*F22</f>
        <v>9.0795370370370387E-2</v>
      </c>
      <c r="L22" s="20">
        <v>4</v>
      </c>
      <c r="M22" s="20">
        <v>4</v>
      </c>
      <c r="N22" s="101">
        <f>TIME(10,0,0)</f>
        <v>0.41666666666666669</v>
      </c>
      <c r="O22" s="91">
        <f>TIME(12,2,50)</f>
        <v>0.5019675925925926</v>
      </c>
      <c r="P22" s="91">
        <f>O22-N22</f>
        <v>8.5300925925925919E-2</v>
      </c>
      <c r="Q22" s="91">
        <f>P22*F22</f>
        <v>8.4277314814814805E-2</v>
      </c>
      <c r="R22" s="129">
        <v>5</v>
      </c>
      <c r="S22" s="20"/>
      <c r="T22" s="101">
        <f>TIME(10,0,0)</f>
        <v>0.41666666666666669</v>
      </c>
      <c r="U22" s="91">
        <f>TIME(12,3,0)</f>
        <v>0.50208333333333333</v>
      </c>
      <c r="V22" s="91">
        <f>U22-T22</f>
        <v>8.5416666666666641E-2</v>
      </c>
      <c r="W22" s="91">
        <f>V22*F22</f>
        <v>8.4391666666666643E-2</v>
      </c>
      <c r="X22" s="130">
        <v>3</v>
      </c>
      <c r="Y22" s="20">
        <v>3</v>
      </c>
      <c r="Z22" s="101">
        <f>TIME(10,0,0)</f>
        <v>0.41666666666666669</v>
      </c>
      <c r="AA22" s="91">
        <f>TIME(13,9,5)</f>
        <v>0.54797453703703702</v>
      </c>
      <c r="AB22" s="91">
        <f>AA22-Z22</f>
        <v>0.13130787037037034</v>
      </c>
      <c r="AC22" s="91">
        <f>AB22*F22</f>
        <v>0.1297321759259259</v>
      </c>
      <c r="AD22" s="130">
        <v>3</v>
      </c>
      <c r="AE22" s="130">
        <v>3</v>
      </c>
      <c r="AF22" s="91">
        <f t="shared" si="5"/>
        <v>0.41666666666666669</v>
      </c>
      <c r="AG22" s="91">
        <f>TIME(11,48,30)</f>
        <v>0.49201388888888892</v>
      </c>
      <c r="AH22" s="91">
        <f t="shared" si="10"/>
        <v>7.5347222222222232E-2</v>
      </c>
      <c r="AI22" s="91">
        <f>AH22*F22</f>
        <v>7.4443055555555568E-2</v>
      </c>
      <c r="AJ22" s="130">
        <v>5</v>
      </c>
      <c r="AK22" s="20">
        <v>5</v>
      </c>
      <c r="AL22" s="22">
        <f t="shared" si="9"/>
        <v>15</v>
      </c>
      <c r="AM22" s="122">
        <v>3</v>
      </c>
    </row>
    <row r="23" spans="1:39">
      <c r="A23" s="11" t="s">
        <v>207</v>
      </c>
      <c r="B23" s="11" t="s">
        <v>208</v>
      </c>
      <c r="C23" s="13" t="s">
        <v>209</v>
      </c>
      <c r="D23" s="13" t="s">
        <v>210</v>
      </c>
      <c r="E23" s="20"/>
      <c r="F23" s="38">
        <v>0.88</v>
      </c>
      <c r="G23" s="13" t="s">
        <v>26</v>
      </c>
      <c r="H23" s="101">
        <f t="shared" si="11"/>
        <v>0.41666666666666669</v>
      </c>
      <c r="I23" s="91">
        <f>TIME(12,58,28)</f>
        <v>0.54060185185185183</v>
      </c>
      <c r="J23" s="91">
        <f t="shared" si="8"/>
        <v>0.12393518518518515</v>
      </c>
      <c r="K23" s="93">
        <f>J23*F23</f>
        <v>0.10906296296296293</v>
      </c>
      <c r="L23" s="20">
        <v>10</v>
      </c>
      <c r="M23" s="20">
        <v>10</v>
      </c>
      <c r="N23" s="131" t="s">
        <v>214</v>
      </c>
      <c r="O23" s="131" t="s">
        <v>214</v>
      </c>
      <c r="P23" s="131" t="s">
        <v>214</v>
      </c>
      <c r="Q23" s="131" t="s">
        <v>214</v>
      </c>
      <c r="R23" s="132" t="s">
        <v>214</v>
      </c>
      <c r="S23" s="20"/>
      <c r="T23" s="83" t="s">
        <v>214</v>
      </c>
      <c r="U23" s="83" t="s">
        <v>214</v>
      </c>
      <c r="V23" s="83" t="s">
        <v>214</v>
      </c>
      <c r="W23" s="83" t="s">
        <v>214</v>
      </c>
      <c r="X23" s="84" t="s">
        <v>214</v>
      </c>
      <c r="Y23" s="20">
        <v>13</v>
      </c>
      <c r="Z23" s="133" t="s">
        <v>214</v>
      </c>
      <c r="AA23" s="133" t="s">
        <v>214</v>
      </c>
      <c r="AB23" s="133" t="s">
        <v>214</v>
      </c>
      <c r="AC23" s="133" t="s">
        <v>214</v>
      </c>
      <c r="AD23" s="134" t="s">
        <v>214</v>
      </c>
      <c r="AE23" s="85">
        <v>13</v>
      </c>
      <c r="AF23" s="83" t="s">
        <v>214</v>
      </c>
      <c r="AG23" s="124" t="s">
        <v>214</v>
      </c>
      <c r="AH23" s="124" t="s">
        <v>214</v>
      </c>
      <c r="AI23" s="124" t="s">
        <v>214</v>
      </c>
      <c r="AJ23" s="29" t="s">
        <v>214</v>
      </c>
      <c r="AK23" s="20">
        <v>13</v>
      </c>
      <c r="AL23" s="22">
        <f t="shared" si="9"/>
        <v>49</v>
      </c>
      <c r="AM23" s="122">
        <v>11</v>
      </c>
    </row>
    <row r="24" spans="1:39">
      <c r="A24" s="102" t="s">
        <v>211</v>
      </c>
      <c r="B24" s="102" t="s">
        <v>212</v>
      </c>
      <c r="C24" s="103" t="s">
        <v>213</v>
      </c>
      <c r="D24" s="104" t="s">
        <v>91</v>
      </c>
      <c r="E24" s="103"/>
      <c r="F24" s="105">
        <v>1.0660000000000001</v>
      </c>
      <c r="G24" s="103" t="s">
        <v>20</v>
      </c>
      <c r="H24" s="106">
        <f t="shared" si="11"/>
        <v>0.41666666666666669</v>
      </c>
      <c r="I24" s="94">
        <f>TIME(12,5,2)</f>
        <v>0.5034953703703704</v>
      </c>
      <c r="J24" s="94">
        <f t="shared" si="8"/>
        <v>8.6828703703703713E-2</v>
      </c>
      <c r="K24" s="94">
        <f>J24*F24</f>
        <v>9.2559398148148161E-2</v>
      </c>
      <c r="L24" s="103">
        <v>6</v>
      </c>
      <c r="M24" s="103">
        <v>6</v>
      </c>
      <c r="N24" s="135" t="s">
        <v>214</v>
      </c>
      <c r="O24" s="135" t="s">
        <v>214</v>
      </c>
      <c r="P24" s="135" t="s">
        <v>214</v>
      </c>
      <c r="Q24" s="135" t="s">
        <v>214</v>
      </c>
      <c r="R24" s="136" t="s">
        <v>214</v>
      </c>
      <c r="S24" s="103"/>
      <c r="T24" s="83" t="s">
        <v>214</v>
      </c>
      <c r="U24" s="83" t="s">
        <v>214</v>
      </c>
      <c r="V24" s="83" t="s">
        <v>214</v>
      </c>
      <c r="W24" s="83" t="s">
        <v>214</v>
      </c>
      <c r="X24" s="84" t="s">
        <v>214</v>
      </c>
      <c r="Y24" s="20">
        <v>13</v>
      </c>
      <c r="Z24" s="133" t="s">
        <v>214</v>
      </c>
      <c r="AA24" s="133" t="s">
        <v>214</v>
      </c>
      <c r="AB24" s="133" t="s">
        <v>214</v>
      </c>
      <c r="AC24" s="133" t="s">
        <v>214</v>
      </c>
      <c r="AD24" s="134" t="s">
        <v>214</v>
      </c>
      <c r="AE24" s="85">
        <v>13</v>
      </c>
      <c r="AF24" s="83" t="s">
        <v>214</v>
      </c>
      <c r="AG24" s="124" t="s">
        <v>214</v>
      </c>
      <c r="AH24" s="124" t="s">
        <v>214</v>
      </c>
      <c r="AI24" s="124" t="s">
        <v>214</v>
      </c>
      <c r="AJ24" s="29" t="s">
        <v>214</v>
      </c>
      <c r="AK24" s="20">
        <v>13</v>
      </c>
      <c r="AL24" s="22">
        <f t="shared" si="9"/>
        <v>45</v>
      </c>
      <c r="AM24" s="122">
        <v>9</v>
      </c>
    </row>
    <row r="25" spans="1:39">
      <c r="A25" s="108" t="s">
        <v>215</v>
      </c>
      <c r="B25" s="108" t="s">
        <v>216</v>
      </c>
      <c r="C25" s="109" t="s">
        <v>217</v>
      </c>
      <c r="D25" s="109">
        <v>9200</v>
      </c>
      <c r="E25" s="110"/>
      <c r="F25" s="110">
        <v>0.94</v>
      </c>
      <c r="G25" s="109" t="s">
        <v>26</v>
      </c>
      <c r="H25" s="111">
        <f t="shared" si="11"/>
        <v>0.41666666666666669</v>
      </c>
      <c r="I25" s="99">
        <f>TIME(12,1,2)</f>
        <v>0.50071759259259252</v>
      </c>
      <c r="J25" s="99">
        <f t="shared" si="8"/>
        <v>8.4050925925925835E-2</v>
      </c>
      <c r="K25" s="99">
        <f>J25*F25</f>
        <v>7.9007870370370284E-2</v>
      </c>
      <c r="L25" s="109">
        <v>2</v>
      </c>
      <c r="M25" s="109">
        <v>2</v>
      </c>
      <c r="N25" s="137" t="s">
        <v>214</v>
      </c>
      <c r="O25" s="137" t="s">
        <v>214</v>
      </c>
      <c r="P25" s="137" t="s">
        <v>214</v>
      </c>
      <c r="Q25" s="137" t="s">
        <v>214</v>
      </c>
      <c r="R25" s="138" t="s">
        <v>214</v>
      </c>
      <c r="S25" s="109"/>
      <c r="T25" s="83" t="s">
        <v>214</v>
      </c>
      <c r="U25" s="83" t="s">
        <v>214</v>
      </c>
      <c r="V25" s="83" t="s">
        <v>214</v>
      </c>
      <c r="W25" s="83" t="s">
        <v>214</v>
      </c>
      <c r="X25" s="84" t="s">
        <v>214</v>
      </c>
      <c r="Y25" s="20">
        <v>13</v>
      </c>
      <c r="Z25" s="133" t="s">
        <v>214</v>
      </c>
      <c r="AA25" s="133" t="s">
        <v>214</v>
      </c>
      <c r="AB25" s="133" t="s">
        <v>214</v>
      </c>
      <c r="AC25" s="133" t="s">
        <v>214</v>
      </c>
      <c r="AD25" s="134" t="s">
        <v>214</v>
      </c>
      <c r="AE25" s="85">
        <v>13</v>
      </c>
      <c r="AF25" s="83" t="s">
        <v>214</v>
      </c>
      <c r="AG25" s="124" t="s">
        <v>214</v>
      </c>
      <c r="AH25" s="124" t="s">
        <v>214</v>
      </c>
      <c r="AI25" s="124" t="s">
        <v>214</v>
      </c>
      <c r="AJ25" s="29" t="s">
        <v>214</v>
      </c>
      <c r="AK25" s="20">
        <v>13</v>
      </c>
      <c r="AL25" s="22">
        <f t="shared" si="9"/>
        <v>41</v>
      </c>
      <c r="AM25" s="122">
        <v>8</v>
      </c>
    </row>
    <row r="26" spans="1:39">
      <c r="A26" s="90" t="s">
        <v>99</v>
      </c>
      <c r="B26" s="90" t="s">
        <v>100</v>
      </c>
      <c r="C26" s="20" t="s">
        <v>101</v>
      </c>
      <c r="D26" s="20" t="s">
        <v>102</v>
      </c>
      <c r="E26" s="20"/>
      <c r="F26" s="20">
        <v>0.90600000000000003</v>
      </c>
      <c r="G26" s="20" t="s">
        <v>26</v>
      </c>
      <c r="H26" s="101">
        <f t="shared" si="11"/>
        <v>0.41666666666666669</v>
      </c>
      <c r="I26" s="83" t="s">
        <v>156</v>
      </c>
      <c r="J26" s="83" t="s">
        <v>156</v>
      </c>
      <c r="K26" s="82" t="s">
        <v>156</v>
      </c>
      <c r="L26" s="13" t="s">
        <v>156</v>
      </c>
      <c r="M26" s="13">
        <v>12</v>
      </c>
      <c r="N26" s="131" t="s">
        <v>214</v>
      </c>
      <c r="O26" s="131" t="s">
        <v>214</v>
      </c>
      <c r="P26" s="131" t="s">
        <v>214</v>
      </c>
      <c r="Q26" s="131" t="s">
        <v>214</v>
      </c>
      <c r="R26" s="132" t="s">
        <v>214</v>
      </c>
      <c r="S26" s="20"/>
      <c r="T26" s="83" t="s">
        <v>214</v>
      </c>
      <c r="U26" s="83" t="s">
        <v>214</v>
      </c>
      <c r="V26" s="83" t="s">
        <v>214</v>
      </c>
      <c r="W26" s="83" t="s">
        <v>214</v>
      </c>
      <c r="X26" s="84" t="s">
        <v>214</v>
      </c>
      <c r="Y26" s="20">
        <v>13</v>
      </c>
      <c r="Z26" s="133" t="s">
        <v>214</v>
      </c>
      <c r="AA26" s="133" t="s">
        <v>214</v>
      </c>
      <c r="AB26" s="133" t="s">
        <v>214</v>
      </c>
      <c r="AC26" s="133" t="s">
        <v>214</v>
      </c>
      <c r="AD26" s="134" t="s">
        <v>214</v>
      </c>
      <c r="AE26" s="85">
        <v>13</v>
      </c>
      <c r="AF26" s="83" t="s">
        <v>214</v>
      </c>
      <c r="AG26" s="124" t="s">
        <v>214</v>
      </c>
      <c r="AH26" s="124" t="s">
        <v>214</v>
      </c>
      <c r="AI26" s="124" t="s">
        <v>214</v>
      </c>
      <c r="AJ26" s="29" t="s">
        <v>214</v>
      </c>
      <c r="AK26" s="20">
        <v>13</v>
      </c>
      <c r="AL26" s="22">
        <f t="shared" si="9"/>
        <v>51</v>
      </c>
      <c r="AM26" s="122">
        <v>12</v>
      </c>
    </row>
    <row r="27" spans="1:39">
      <c r="A27" s="11" t="s">
        <v>218</v>
      </c>
      <c r="B27" s="11" t="s">
        <v>219</v>
      </c>
      <c r="C27" s="13" t="s">
        <v>220</v>
      </c>
      <c r="D27" s="13" t="s">
        <v>221</v>
      </c>
      <c r="E27" s="20"/>
      <c r="F27" s="38">
        <v>0.88</v>
      </c>
      <c r="G27" s="13" t="s">
        <v>26</v>
      </c>
      <c r="H27" s="101">
        <f t="shared" si="11"/>
        <v>0.41666666666666669</v>
      </c>
      <c r="I27" s="83">
        <f>TIME(12,2,0)</f>
        <v>0.50138888888888888</v>
      </c>
      <c r="J27" s="91">
        <f t="shared" si="8"/>
        <v>8.4722222222222199E-2</v>
      </c>
      <c r="K27" s="93">
        <f t="shared" ref="K27:K32" si="12">J27*F27</f>
        <v>7.4555555555555542E-2</v>
      </c>
      <c r="L27" s="123">
        <v>1</v>
      </c>
      <c r="M27" s="20"/>
      <c r="N27" s="101">
        <f>TIME(10,0,0)</f>
        <v>0.41666666666666669</v>
      </c>
      <c r="O27" s="91">
        <f>TIME(12,3,0)</f>
        <v>0.50208333333333333</v>
      </c>
      <c r="P27" s="91">
        <f t="shared" ref="P27:P33" si="13">O27-N27</f>
        <v>8.5416666666666641E-2</v>
      </c>
      <c r="Q27" s="91">
        <f>P27*F27</f>
        <v>7.5166666666666646E-2</v>
      </c>
      <c r="R27" s="130">
        <v>1</v>
      </c>
      <c r="S27" s="20">
        <v>1</v>
      </c>
      <c r="T27" s="101">
        <f t="shared" ref="T27:T33" si="14">TIME(10,0,0)</f>
        <v>0.41666666666666669</v>
      </c>
      <c r="U27" s="91">
        <f>TIME(12,6,10)</f>
        <v>0.50428240740740737</v>
      </c>
      <c r="V27" s="91">
        <f>U27-T27</f>
        <v>8.7615740740740689E-2</v>
      </c>
      <c r="W27" s="91">
        <f>V27*F27</f>
        <v>7.710185185185181E-2</v>
      </c>
      <c r="X27" s="130">
        <v>1</v>
      </c>
      <c r="Y27" s="20">
        <v>1</v>
      </c>
      <c r="Z27" s="101">
        <f t="shared" ref="Z27:Z33" si="15">TIME(10,0,0)</f>
        <v>0.41666666666666669</v>
      </c>
      <c r="AA27" s="91">
        <f>TIME(13,3,33)</f>
        <v>0.54413194444444446</v>
      </c>
      <c r="AB27" s="91">
        <f t="shared" ref="AB27:AB32" si="16">AA27-Z27</f>
        <v>0.12746527777777777</v>
      </c>
      <c r="AC27" s="91">
        <f>AB27*F27</f>
        <v>0.11216944444444445</v>
      </c>
      <c r="AD27" s="130">
        <v>1</v>
      </c>
      <c r="AE27" s="130">
        <v>1</v>
      </c>
      <c r="AF27" s="91">
        <f t="shared" si="5"/>
        <v>0.41666666666666669</v>
      </c>
      <c r="AG27" s="91">
        <f>TIME(11,35,49)</f>
        <v>0.48320601851851852</v>
      </c>
      <c r="AH27" s="91">
        <f t="shared" si="10"/>
        <v>6.6539351851851836E-2</v>
      </c>
      <c r="AI27" s="91">
        <f t="shared" ref="AI27:AI33" si="17">AH27*F27</f>
        <v>5.8554629629629616E-2</v>
      </c>
      <c r="AJ27" s="130">
        <v>1</v>
      </c>
      <c r="AK27" s="20">
        <v>1</v>
      </c>
      <c r="AL27" s="22">
        <f t="shared" si="9"/>
        <v>4</v>
      </c>
      <c r="AM27" s="122">
        <v>1</v>
      </c>
    </row>
    <row r="28" spans="1:39">
      <c r="A28" s="90" t="s">
        <v>222</v>
      </c>
      <c r="B28" s="112" t="s">
        <v>223</v>
      </c>
      <c r="C28" s="20" t="s">
        <v>224</v>
      </c>
      <c r="D28" s="13" t="s">
        <v>91</v>
      </c>
      <c r="E28" s="38"/>
      <c r="F28" s="38">
        <v>0.83099999999999996</v>
      </c>
      <c r="G28" s="13" t="s">
        <v>26</v>
      </c>
      <c r="H28" s="101">
        <f t="shared" si="11"/>
        <v>0.41666666666666669</v>
      </c>
      <c r="I28" s="91">
        <f>TIME(13,7,0)</f>
        <v>0.54652777777777783</v>
      </c>
      <c r="J28" s="91">
        <f t="shared" si="8"/>
        <v>0.12986111111111115</v>
      </c>
      <c r="K28" s="91">
        <f t="shared" si="12"/>
        <v>0.10791458333333336</v>
      </c>
      <c r="L28" s="20">
        <v>9</v>
      </c>
      <c r="M28" s="20">
        <v>9</v>
      </c>
      <c r="N28" s="131" t="s">
        <v>214</v>
      </c>
      <c r="O28" s="131" t="s">
        <v>214</v>
      </c>
      <c r="P28" s="131" t="s">
        <v>214</v>
      </c>
      <c r="Q28" s="131" t="s">
        <v>214</v>
      </c>
      <c r="R28" s="132" t="s">
        <v>214</v>
      </c>
      <c r="S28" s="20"/>
      <c r="T28" s="83" t="s">
        <v>214</v>
      </c>
      <c r="U28" s="83" t="s">
        <v>214</v>
      </c>
      <c r="V28" s="83" t="s">
        <v>214</v>
      </c>
      <c r="W28" s="83" t="s">
        <v>214</v>
      </c>
      <c r="X28" s="84" t="s">
        <v>214</v>
      </c>
      <c r="Y28" s="20">
        <v>13</v>
      </c>
      <c r="Z28" s="133" t="s">
        <v>214</v>
      </c>
      <c r="AA28" s="133" t="s">
        <v>214</v>
      </c>
      <c r="AB28" s="133" t="s">
        <v>214</v>
      </c>
      <c r="AC28" s="133" t="s">
        <v>214</v>
      </c>
      <c r="AD28" s="85" t="s">
        <v>214</v>
      </c>
      <c r="AE28" s="85">
        <v>13</v>
      </c>
      <c r="AF28" s="83" t="s">
        <v>214</v>
      </c>
      <c r="AG28" s="124" t="s">
        <v>214</v>
      </c>
      <c r="AH28" s="124" t="s">
        <v>214</v>
      </c>
      <c r="AI28" s="124" t="s">
        <v>214</v>
      </c>
      <c r="AJ28" s="29" t="s">
        <v>214</v>
      </c>
      <c r="AK28" s="20">
        <v>13</v>
      </c>
      <c r="AL28" s="22">
        <f t="shared" si="9"/>
        <v>48</v>
      </c>
      <c r="AM28" s="122">
        <v>10</v>
      </c>
    </row>
    <row r="29" spans="1:39">
      <c r="A29" s="90" t="s">
        <v>103</v>
      </c>
      <c r="B29" s="112" t="s">
        <v>104</v>
      </c>
      <c r="C29" s="20" t="s">
        <v>105</v>
      </c>
      <c r="D29" s="20" t="s">
        <v>106</v>
      </c>
      <c r="E29" s="38"/>
      <c r="F29" s="38">
        <v>0.80600000000000005</v>
      </c>
      <c r="G29" s="20" t="s">
        <v>26</v>
      </c>
      <c r="H29" s="101">
        <f t="shared" si="11"/>
        <v>0.41666666666666669</v>
      </c>
      <c r="I29" s="91">
        <f>TIME(13,3,11)</f>
        <v>0.54387731481481483</v>
      </c>
      <c r="J29" s="91">
        <f t="shared" si="8"/>
        <v>0.12721064814814814</v>
      </c>
      <c r="K29" s="91">
        <f t="shared" si="12"/>
        <v>0.10253178240740742</v>
      </c>
      <c r="L29" s="20">
        <v>7</v>
      </c>
      <c r="M29" s="20">
        <v>7</v>
      </c>
      <c r="N29" s="101">
        <f>TIME(10,0,0)</f>
        <v>0.41666666666666669</v>
      </c>
      <c r="O29" s="91">
        <f>TIME(12,54,25)</f>
        <v>0.53778935185185184</v>
      </c>
      <c r="P29" s="91">
        <f t="shared" si="13"/>
        <v>0.12112268518518515</v>
      </c>
      <c r="Q29" s="91">
        <f>P29*F29</f>
        <v>9.7624884259259234E-2</v>
      </c>
      <c r="R29" s="130">
        <v>6</v>
      </c>
      <c r="S29" s="20">
        <v>6</v>
      </c>
      <c r="T29" s="83" t="s">
        <v>214</v>
      </c>
      <c r="U29" s="83" t="s">
        <v>214</v>
      </c>
      <c r="V29" s="83" t="s">
        <v>214</v>
      </c>
      <c r="W29" s="83" t="s">
        <v>214</v>
      </c>
      <c r="X29" s="139" t="s">
        <v>214</v>
      </c>
      <c r="Y29" s="20"/>
      <c r="Z29" s="101">
        <f t="shared" si="15"/>
        <v>0.41666666666666669</v>
      </c>
      <c r="AA29" s="91">
        <f>TIME(13,53,23)</f>
        <v>0.57873842592592595</v>
      </c>
      <c r="AB29" s="91">
        <f t="shared" si="16"/>
        <v>0.16207175925925926</v>
      </c>
      <c r="AC29" s="91">
        <f>AB29*F29</f>
        <v>0.13062983796296299</v>
      </c>
      <c r="AD29" s="85">
        <v>4</v>
      </c>
      <c r="AE29" s="85">
        <v>4</v>
      </c>
      <c r="AF29" s="124" t="s">
        <v>214</v>
      </c>
      <c r="AG29" s="124" t="s">
        <v>214</v>
      </c>
      <c r="AH29" s="124" t="s">
        <v>214</v>
      </c>
      <c r="AI29" s="124" t="s">
        <v>214</v>
      </c>
      <c r="AJ29" s="29" t="s">
        <v>214</v>
      </c>
      <c r="AK29" s="20">
        <v>13</v>
      </c>
      <c r="AL29" s="22">
        <f t="shared" si="9"/>
        <v>30</v>
      </c>
      <c r="AM29" s="122">
        <v>7</v>
      </c>
    </row>
    <row r="30" spans="1:39">
      <c r="A30" s="90" t="s">
        <v>37</v>
      </c>
      <c r="B30" s="90" t="s">
        <v>38</v>
      </c>
      <c r="C30" s="20" t="s">
        <v>39</v>
      </c>
      <c r="D30" s="20" t="s">
        <v>40</v>
      </c>
      <c r="E30" s="20"/>
      <c r="F30" s="38">
        <v>0.86799999999999999</v>
      </c>
      <c r="G30" s="20" t="s">
        <v>26</v>
      </c>
      <c r="H30" s="91">
        <f>TIME(10,0,0)</f>
        <v>0.41666666666666669</v>
      </c>
      <c r="I30" s="91">
        <f>TIME(12,56,29)</f>
        <v>0.5392245370370371</v>
      </c>
      <c r="J30" s="91">
        <f t="shared" si="8"/>
        <v>0.12255787037037041</v>
      </c>
      <c r="K30" s="91">
        <f t="shared" si="12"/>
        <v>0.10638023148148151</v>
      </c>
      <c r="L30" s="20">
        <v>8</v>
      </c>
      <c r="M30" s="20">
        <v>8</v>
      </c>
      <c r="N30" s="91">
        <f>TIME(10,0,0)</f>
        <v>0.41666666666666669</v>
      </c>
      <c r="O30" s="91">
        <f>TIME(12,47,25)</f>
        <v>0.53292824074074074</v>
      </c>
      <c r="P30" s="91">
        <f t="shared" si="13"/>
        <v>0.11626157407407406</v>
      </c>
      <c r="Q30" s="91">
        <f>P30*F30</f>
        <v>0.10091504629629629</v>
      </c>
      <c r="R30" s="130">
        <v>7</v>
      </c>
      <c r="S30" s="20">
        <v>7</v>
      </c>
      <c r="T30" s="101">
        <f t="shared" si="14"/>
        <v>0.41666666666666669</v>
      </c>
      <c r="U30" s="91">
        <f>TIME(12,58,33)</f>
        <v>0.54065972222222225</v>
      </c>
      <c r="V30" s="91">
        <f>U30-T30</f>
        <v>0.12399305555555556</v>
      </c>
      <c r="W30" s="91">
        <f>V30*F30</f>
        <v>0.10762597222222223</v>
      </c>
      <c r="X30" s="130">
        <v>6</v>
      </c>
      <c r="Y30" s="20">
        <v>6</v>
      </c>
      <c r="Z30" s="101">
        <f t="shared" si="15"/>
        <v>0.41666666666666669</v>
      </c>
      <c r="AA30" s="133" t="s">
        <v>156</v>
      </c>
      <c r="AB30" s="133" t="s">
        <v>156</v>
      </c>
      <c r="AC30" s="133" t="s">
        <v>156</v>
      </c>
      <c r="AD30" s="85" t="s">
        <v>156</v>
      </c>
      <c r="AE30" s="130">
        <v>7</v>
      </c>
      <c r="AF30" s="83" t="s">
        <v>214</v>
      </c>
      <c r="AG30" s="124" t="s">
        <v>214</v>
      </c>
      <c r="AH30" s="124" t="s">
        <v>214</v>
      </c>
      <c r="AI30" s="124" t="s">
        <v>214</v>
      </c>
      <c r="AJ30" s="139" t="s">
        <v>214</v>
      </c>
      <c r="AK30" s="20"/>
      <c r="AL30" s="22">
        <f t="shared" si="9"/>
        <v>28</v>
      </c>
      <c r="AM30" s="122">
        <v>6</v>
      </c>
    </row>
    <row r="31" spans="1:39">
      <c r="A31" s="90" t="s">
        <v>107</v>
      </c>
      <c r="B31" s="90" t="s">
        <v>225</v>
      </c>
      <c r="C31" s="20" t="s">
        <v>226</v>
      </c>
      <c r="D31" s="20">
        <v>128</v>
      </c>
      <c r="E31" s="38"/>
      <c r="F31" s="38">
        <v>0.79900000000000004</v>
      </c>
      <c r="G31" s="20" t="s">
        <v>26</v>
      </c>
      <c r="H31" s="101">
        <f>TIME(10,0,0)</f>
        <v>0.41666666666666669</v>
      </c>
      <c r="I31" s="91">
        <f>TIME(12,46,36)</f>
        <v>0.53236111111111117</v>
      </c>
      <c r="J31" s="91">
        <f>I31-H31</f>
        <v>0.11569444444444449</v>
      </c>
      <c r="K31" s="91">
        <f t="shared" si="12"/>
        <v>9.2439861111111146E-2</v>
      </c>
      <c r="L31" s="20">
        <v>5</v>
      </c>
      <c r="M31" s="20">
        <v>5</v>
      </c>
      <c r="N31" s="101">
        <f>TIME(10,0,0)</f>
        <v>0.41666666666666669</v>
      </c>
      <c r="O31" s="91">
        <f>TIME(12,27,15)</f>
        <v>0.51892361111111118</v>
      </c>
      <c r="P31" s="91">
        <f t="shared" si="13"/>
        <v>0.1022569444444445</v>
      </c>
      <c r="Q31" s="91">
        <f>P31*F31</f>
        <v>8.1703298611111155E-2</v>
      </c>
      <c r="R31" s="130">
        <v>4</v>
      </c>
      <c r="S31" s="20">
        <v>4</v>
      </c>
      <c r="T31" s="101">
        <f t="shared" si="14"/>
        <v>0.41666666666666669</v>
      </c>
      <c r="U31" s="91">
        <f>TIME(12,38,33)</f>
        <v>0.5267708333333333</v>
      </c>
      <c r="V31" s="91">
        <f>U31-T31</f>
        <v>0.11010416666666661</v>
      </c>
      <c r="W31" s="91">
        <f>V31*F31</f>
        <v>8.7973229166666625E-2</v>
      </c>
      <c r="X31" s="130">
        <v>4</v>
      </c>
      <c r="Y31" s="20">
        <v>4</v>
      </c>
      <c r="Z31" s="133" t="s">
        <v>214</v>
      </c>
      <c r="AA31" s="133" t="s">
        <v>214</v>
      </c>
      <c r="AB31" s="133" t="s">
        <v>214</v>
      </c>
      <c r="AC31" s="133" t="s">
        <v>214</v>
      </c>
      <c r="AD31" s="129" t="s">
        <v>214</v>
      </c>
      <c r="AE31" s="130"/>
      <c r="AF31" s="91">
        <f t="shared" si="5"/>
        <v>0.41666666666666669</v>
      </c>
      <c r="AG31" s="91">
        <f>TIME(11,57,30)</f>
        <v>0.4982638888888889</v>
      </c>
      <c r="AH31" s="91">
        <f t="shared" si="10"/>
        <v>8.159722222222221E-2</v>
      </c>
      <c r="AI31" s="91">
        <f t="shared" si="17"/>
        <v>6.5196180555555552E-2</v>
      </c>
      <c r="AJ31" s="130">
        <v>4</v>
      </c>
      <c r="AK31" s="20">
        <v>4</v>
      </c>
      <c r="AL31" s="22">
        <f t="shared" si="9"/>
        <v>17</v>
      </c>
      <c r="AM31" s="122" t="s">
        <v>236</v>
      </c>
    </row>
    <row r="32" spans="1:39">
      <c r="A32" s="90" t="s">
        <v>43</v>
      </c>
      <c r="B32" s="90" t="s">
        <v>44</v>
      </c>
      <c r="C32" s="20" t="s">
        <v>45</v>
      </c>
      <c r="D32" s="20" t="s">
        <v>46</v>
      </c>
      <c r="E32" s="20"/>
      <c r="F32" s="38">
        <v>0.91100000000000003</v>
      </c>
      <c r="G32" s="20" t="s">
        <v>26</v>
      </c>
      <c r="H32" s="91">
        <f>TIME(10,0,0)</f>
        <v>0.41666666666666669</v>
      </c>
      <c r="I32" s="91">
        <f>TIME(12,21,19)</f>
        <v>0.51480324074074069</v>
      </c>
      <c r="J32" s="91">
        <f>I32-H32</f>
        <v>9.8136574074074001E-2</v>
      </c>
      <c r="K32" s="91">
        <f t="shared" si="12"/>
        <v>8.9402418981481421E-2</v>
      </c>
      <c r="L32" s="123">
        <v>3</v>
      </c>
      <c r="M32" s="20"/>
      <c r="N32" s="91">
        <f>TIME(10,0,0)</f>
        <v>0.41666666666666669</v>
      </c>
      <c r="O32" s="91">
        <f>TIME(12,6,6)</f>
        <v>0.50423611111111111</v>
      </c>
      <c r="P32" s="91">
        <f t="shared" si="13"/>
        <v>8.7569444444444422E-2</v>
      </c>
      <c r="Q32" s="91">
        <f>P32*F32</f>
        <v>7.9775763888888865E-2</v>
      </c>
      <c r="R32" s="130">
        <v>2</v>
      </c>
      <c r="S32" s="20">
        <v>2</v>
      </c>
      <c r="T32" s="101">
        <f t="shared" si="14"/>
        <v>0.41666666666666669</v>
      </c>
      <c r="U32" s="91">
        <f>TIME(12,12,3)</f>
        <v>0.50836805555555553</v>
      </c>
      <c r="V32" s="91">
        <f>U32-T32</f>
        <v>9.1701388888888846E-2</v>
      </c>
      <c r="W32" s="91">
        <f>V32*F32</f>
        <v>8.3539965277777739E-2</v>
      </c>
      <c r="X32" s="130">
        <v>2</v>
      </c>
      <c r="Y32" s="20">
        <v>2</v>
      </c>
      <c r="Z32" s="101">
        <f t="shared" si="15"/>
        <v>0.41666666666666669</v>
      </c>
      <c r="AA32" s="91">
        <f>TIME(13,12,47)</f>
        <v>0.55054398148148154</v>
      </c>
      <c r="AB32" s="91">
        <f t="shared" si="16"/>
        <v>0.13387731481481485</v>
      </c>
      <c r="AC32" s="91">
        <f>AB32*F32</f>
        <v>0.12196223379629634</v>
      </c>
      <c r="AD32" s="130">
        <v>2</v>
      </c>
      <c r="AE32" s="130">
        <v>2</v>
      </c>
      <c r="AF32" s="91">
        <f t="shared" si="5"/>
        <v>0.41666666666666669</v>
      </c>
      <c r="AG32" s="91">
        <f>TIME(11,40,35)</f>
        <v>0.48651620370370369</v>
      </c>
      <c r="AH32" s="91">
        <f t="shared" si="10"/>
        <v>6.9849537037037002E-2</v>
      </c>
      <c r="AI32" s="91">
        <f t="shared" si="17"/>
        <v>6.363292824074071E-2</v>
      </c>
      <c r="AJ32" s="130">
        <v>3</v>
      </c>
      <c r="AK32" s="20">
        <v>3</v>
      </c>
      <c r="AL32" s="22">
        <f t="shared" si="9"/>
        <v>9</v>
      </c>
      <c r="AM32" s="122">
        <v>2</v>
      </c>
    </row>
    <row r="33" spans="1:39">
      <c r="A33" s="90" t="s">
        <v>186</v>
      </c>
      <c r="B33" s="90" t="s">
        <v>227</v>
      </c>
      <c r="C33" s="20" t="s">
        <v>228</v>
      </c>
      <c r="D33" s="13" t="s">
        <v>229</v>
      </c>
      <c r="E33" s="20"/>
      <c r="F33" s="13">
        <v>1.026</v>
      </c>
      <c r="G33" s="20" t="s">
        <v>20</v>
      </c>
      <c r="H33" s="107" t="s">
        <v>214</v>
      </c>
      <c r="I33" s="107" t="s">
        <v>214</v>
      </c>
      <c r="J33" s="107" t="s">
        <v>214</v>
      </c>
      <c r="K33" s="107" t="s">
        <v>214</v>
      </c>
      <c r="L33" s="123" t="s">
        <v>214</v>
      </c>
      <c r="M33" s="20"/>
      <c r="N33" s="91">
        <f>TIME(10,0,0)</f>
        <v>0.41666666666666669</v>
      </c>
      <c r="O33" s="91">
        <f>TIME(11,52,8)</f>
        <v>0.49453703703703705</v>
      </c>
      <c r="P33" s="91">
        <f t="shared" si="13"/>
        <v>7.7870370370370368E-2</v>
      </c>
      <c r="Q33" s="91">
        <f>P33*F33</f>
        <v>7.9894999999999994E-2</v>
      </c>
      <c r="R33" s="130">
        <v>3</v>
      </c>
      <c r="S33" s="20">
        <v>3</v>
      </c>
      <c r="T33" s="101">
        <f t="shared" si="14"/>
        <v>0.41666666666666669</v>
      </c>
      <c r="U33" s="91">
        <f>TIME(12,4,9)</f>
        <v>0.50288194444444445</v>
      </c>
      <c r="V33" s="91">
        <f>U33-T33</f>
        <v>8.6215277777777766E-2</v>
      </c>
      <c r="W33" s="91">
        <f>V33*F33</f>
        <v>8.845687499999999E-2</v>
      </c>
      <c r="X33" s="130">
        <v>5</v>
      </c>
      <c r="Y33" s="20">
        <v>5</v>
      </c>
      <c r="Z33" s="101">
        <f t="shared" si="15"/>
        <v>0.41666666666666669</v>
      </c>
      <c r="AA33" s="133" t="s">
        <v>156</v>
      </c>
      <c r="AB33" s="133" t="s">
        <v>156</v>
      </c>
      <c r="AC33" s="133" t="s">
        <v>156</v>
      </c>
      <c r="AD33" s="85" t="s">
        <v>156</v>
      </c>
      <c r="AE33" s="130">
        <v>7</v>
      </c>
      <c r="AF33" s="91">
        <f t="shared" si="5"/>
        <v>0.41666666666666669</v>
      </c>
      <c r="AG33" s="91">
        <f>TIME(11,24,33)</f>
        <v>0.47538194444444448</v>
      </c>
      <c r="AH33" s="91">
        <f t="shared" si="10"/>
        <v>5.8715277777777797E-2</v>
      </c>
      <c r="AI33" s="91">
        <f t="shared" si="17"/>
        <v>6.0241875000000021E-2</v>
      </c>
      <c r="AJ33" s="130">
        <v>2</v>
      </c>
      <c r="AK33" s="20">
        <v>2</v>
      </c>
      <c r="AL33" s="22">
        <f t="shared" si="9"/>
        <v>17</v>
      </c>
      <c r="AM33" s="122" t="s">
        <v>236</v>
      </c>
    </row>
  </sheetData>
  <mergeCells count="9">
    <mergeCell ref="H9:M9"/>
    <mergeCell ref="N9:S9"/>
    <mergeCell ref="T9:Y9"/>
    <mergeCell ref="Z9:AE9"/>
    <mergeCell ref="AF9:AL9"/>
    <mergeCell ref="A4:B4"/>
    <mergeCell ref="A5:B5"/>
    <mergeCell ref="A6:B6"/>
    <mergeCell ref="A7:B7"/>
  </mergeCells>
  <hyperlinks>
    <hyperlink ref="C5" r:id="rId1"/>
    <hyperlink ref="C4" r:id="rId2"/>
    <hyperlink ref="C6" r:id="rId3"/>
    <hyperlink ref="C7" r:id="rId4"/>
  </hyperlinks>
  <pageMargins left="0.7" right="0.7" top="0.75" bottom="0.75" header="0.3" footer="0.3"/>
  <pageSetup paperSize="9" orientation="portrait" horizontalDpi="0" verticalDpi="0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Triangle</vt:lpstr>
      <vt:lpstr>Ladies Race</vt:lpstr>
      <vt:lpstr>Trebeurden</vt:lpstr>
      <vt:lpstr>Eddystone</vt:lpstr>
      <vt:lpstr>Pursuit Race</vt:lpstr>
      <vt:lpstr>Autumn Series PH Whole Fleet</vt:lpstr>
      <vt:lpstr>Autumn Series By Class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cp:lastPrinted>2019-03-13T17:05:46Z</cp:lastPrinted>
  <dcterms:created xsi:type="dcterms:W3CDTF">2018-09-19T17:32:53Z</dcterms:created>
  <dcterms:modified xsi:type="dcterms:W3CDTF">2021-05-12T15:39:48Z</dcterms:modified>
</cp:coreProperties>
</file>