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90" windowHeight="7560"/>
  </bookViews>
  <sheets>
    <sheet name="Autumn Series" sheetId="1" r:id="rId1"/>
    <sheet name="YHQ Trophy" sheetId="2" r:id="rId2"/>
    <sheet name="YealmSalcombe" sheetId="3" r:id="rId3"/>
    <sheet name="YealmFowey" sheetId="4" r:id="rId4"/>
    <sheet name="YealmEddystone" sheetId="5" r:id="rId5"/>
    <sheet name="May Triangle" sheetId="6" r:id="rId6"/>
    <sheet name="Ladies Race" sheetId="7" r:id="rId7"/>
    <sheet name="Pursuit Race" sheetId="8" r:id="rId8"/>
    <sheet name="Trebeurden" sheetId="9" r:id="rId9"/>
  </sheets>
  <definedNames>
    <definedName name="_xlnm._FilterDatabase" localSheetId="0" hidden="1">'Autumn Series'!#REF!</definedName>
  </definedNames>
  <calcPr calcId="125725"/>
</workbook>
</file>

<file path=xl/calcChain.xml><?xml version="1.0" encoding="utf-8"?>
<calcChain xmlns="http://schemas.openxmlformats.org/spreadsheetml/2006/main">
  <c r="K46" i="9"/>
  <c r="J46"/>
  <c r="L46"/>
  <c r="M46"/>
  <c r="I46"/>
  <c r="K45"/>
  <c r="L45"/>
  <c r="M45"/>
  <c r="J45"/>
  <c r="I45"/>
  <c r="K44"/>
  <c r="L44"/>
  <c r="M44"/>
  <c r="J44"/>
  <c r="I44"/>
  <c r="I43"/>
  <c r="K42"/>
  <c r="J42"/>
  <c r="L42"/>
  <c r="M42"/>
  <c r="I42"/>
  <c r="K39"/>
  <c r="J39"/>
  <c r="L39"/>
  <c r="I39"/>
  <c r="K38"/>
  <c r="J38"/>
  <c r="L38"/>
  <c r="I38"/>
  <c r="J37"/>
  <c r="I37"/>
  <c r="K36"/>
  <c r="J36"/>
  <c r="L36"/>
  <c r="I36"/>
  <c r="K35"/>
  <c r="J35"/>
  <c r="L35"/>
  <c r="I35"/>
  <c r="K34"/>
  <c r="J34"/>
  <c r="L34"/>
  <c r="I34"/>
  <c r="K33"/>
  <c r="J33"/>
  <c r="L33"/>
  <c r="I33"/>
  <c r="K32"/>
  <c r="J32"/>
  <c r="L32"/>
  <c r="I32"/>
  <c r="K31"/>
  <c r="J31"/>
  <c r="L31"/>
  <c r="I31"/>
  <c r="K30"/>
  <c r="J30"/>
  <c r="L30"/>
  <c r="I30"/>
  <c r="J27"/>
  <c r="I27"/>
  <c r="K26"/>
  <c r="J26"/>
  <c r="L26"/>
  <c r="I26"/>
  <c r="K25"/>
  <c r="J25"/>
  <c r="L25"/>
  <c r="I25"/>
  <c r="K24"/>
  <c r="J24"/>
  <c r="L24"/>
  <c r="I24"/>
  <c r="K23"/>
  <c r="J23"/>
  <c r="L23"/>
  <c r="I23"/>
  <c r="K22"/>
  <c r="J22"/>
  <c r="L22"/>
  <c r="I22"/>
  <c r="K21"/>
  <c r="J21"/>
  <c r="L21"/>
  <c r="I21"/>
  <c r="J20"/>
  <c r="I20"/>
  <c r="K19"/>
  <c r="J19"/>
  <c r="L19"/>
  <c r="I19"/>
  <c r="K18"/>
  <c r="J18"/>
  <c r="L18"/>
  <c r="I18"/>
  <c r="K17"/>
  <c r="J17"/>
  <c r="L17"/>
  <c r="I17"/>
  <c r="K16"/>
  <c r="J16"/>
  <c r="L16"/>
  <c r="I16"/>
  <c r="K15"/>
  <c r="J15"/>
  <c r="L15"/>
  <c r="I15"/>
  <c r="K12"/>
  <c r="L12"/>
  <c r="J12"/>
  <c r="I12"/>
  <c r="K11"/>
  <c r="J11"/>
  <c r="L11"/>
  <c r="I11"/>
  <c r="K10"/>
  <c r="L10"/>
  <c r="J10"/>
  <c r="I10"/>
  <c r="K9"/>
  <c r="J9"/>
  <c r="L9"/>
  <c r="I9"/>
  <c r="K8"/>
  <c r="L8"/>
  <c r="J8"/>
  <c r="I8"/>
  <c r="K5"/>
  <c r="J5"/>
  <c r="L5"/>
  <c r="I5"/>
  <c r="K4"/>
  <c r="J4"/>
  <c r="L4"/>
  <c r="I4"/>
  <c r="T8" i="8"/>
  <c r="S8"/>
  <c r="R8"/>
  <c r="M8"/>
  <c r="L8"/>
  <c r="T7"/>
  <c r="S7"/>
  <c r="R7"/>
  <c r="M7"/>
  <c r="L7"/>
  <c r="T6"/>
  <c r="S6"/>
  <c r="R6"/>
  <c r="M6"/>
  <c r="L6"/>
  <c r="T5"/>
  <c r="S5"/>
  <c r="R5"/>
  <c r="M5"/>
  <c r="L5"/>
  <c r="T4"/>
  <c r="S4"/>
  <c r="R4"/>
  <c r="M4"/>
  <c r="L4"/>
  <c r="H11" i="7"/>
  <c r="I11"/>
  <c r="J11"/>
  <c r="G11"/>
  <c r="H10"/>
  <c r="I10"/>
  <c r="J10"/>
  <c r="G10"/>
  <c r="H9"/>
  <c r="I9"/>
  <c r="J9"/>
  <c r="G9"/>
  <c r="H8"/>
  <c r="I8"/>
  <c r="J8"/>
  <c r="G8"/>
  <c r="H7"/>
  <c r="I7"/>
  <c r="J7"/>
  <c r="G7"/>
  <c r="H6"/>
  <c r="I6"/>
  <c r="J6"/>
  <c r="G6"/>
  <c r="X11" i="6"/>
  <c r="U11"/>
  <c r="V11"/>
  <c r="O11"/>
  <c r="P11"/>
  <c r="F11"/>
  <c r="X10"/>
  <c r="X9"/>
  <c r="X8"/>
  <c r="U8"/>
  <c r="V8"/>
  <c r="F8"/>
  <c r="X7"/>
  <c r="U7"/>
  <c r="V7"/>
  <c r="P7"/>
  <c r="O7"/>
  <c r="F7"/>
  <c r="I7"/>
  <c r="J7"/>
  <c r="X6"/>
  <c r="U6"/>
  <c r="V6"/>
  <c r="O6"/>
  <c r="P6"/>
  <c r="F6"/>
  <c r="I6"/>
  <c r="J6"/>
  <c r="O18" i="9"/>
  <c r="M18"/>
  <c r="M21"/>
  <c r="O21"/>
  <c r="M25"/>
  <c r="O25"/>
  <c r="O30"/>
  <c r="M30"/>
  <c r="O34"/>
  <c r="M34"/>
  <c r="M9"/>
  <c r="O9"/>
  <c r="O10"/>
  <c r="M10"/>
  <c r="M15"/>
  <c r="O15"/>
  <c r="M19"/>
  <c r="O19"/>
  <c r="O22"/>
  <c r="M22"/>
  <c r="O26"/>
  <c r="M26"/>
  <c r="M31"/>
  <c r="O31"/>
  <c r="M35"/>
  <c r="O35"/>
  <c r="O38"/>
  <c r="M38"/>
  <c r="O4"/>
  <c r="M4"/>
  <c r="O16"/>
  <c r="M16"/>
  <c r="M23"/>
  <c r="O23"/>
  <c r="O32"/>
  <c r="M32"/>
  <c r="O36"/>
  <c r="M36"/>
  <c r="M39"/>
  <c r="O39"/>
  <c r="M5"/>
  <c r="O5"/>
  <c r="O8"/>
  <c r="M8"/>
  <c r="M11"/>
  <c r="O11"/>
  <c r="O12"/>
  <c r="M12"/>
  <c r="M17"/>
  <c r="O17"/>
  <c r="O24"/>
  <c r="M24"/>
  <c r="M33"/>
  <c r="O33"/>
  <c r="N6" i="8"/>
  <c r="O6"/>
  <c r="P6"/>
  <c r="N4"/>
  <c r="O4"/>
  <c r="P4"/>
  <c r="N8"/>
  <c r="O8"/>
  <c r="P8"/>
  <c r="N7"/>
  <c r="O7"/>
  <c r="P7"/>
  <c r="Q6"/>
  <c r="N5"/>
  <c r="O5"/>
  <c r="P5"/>
  <c r="I18" i="5"/>
  <c r="J18"/>
  <c r="H18"/>
  <c r="I17"/>
  <c r="J17"/>
  <c r="H17"/>
  <c r="J16"/>
  <c r="K16"/>
  <c r="I16"/>
  <c r="H16"/>
  <c r="I15"/>
  <c r="H15"/>
  <c r="J15"/>
  <c r="I14"/>
  <c r="J14"/>
  <c r="H14"/>
  <c r="I11"/>
  <c r="J11"/>
  <c r="H11"/>
  <c r="I10"/>
  <c r="J10"/>
  <c r="K10"/>
  <c r="H10"/>
  <c r="I9"/>
  <c r="H9"/>
  <c r="I8"/>
  <c r="H8"/>
  <c r="I7"/>
  <c r="J7"/>
  <c r="H7"/>
  <c r="I6"/>
  <c r="J6"/>
  <c r="K6"/>
  <c r="H6"/>
  <c r="I5"/>
  <c r="J5"/>
  <c r="H5"/>
  <c r="J9" i="4"/>
  <c r="K9"/>
  <c r="I9"/>
  <c r="H9"/>
  <c r="K8"/>
  <c r="J8"/>
  <c r="I8"/>
  <c r="H8"/>
  <c r="K6"/>
  <c r="J6"/>
  <c r="I6"/>
  <c r="H6"/>
  <c r="I4"/>
  <c r="J4"/>
  <c r="K4"/>
  <c r="H4"/>
  <c r="L16" i="3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9"/>
  <c r="K9"/>
  <c r="J9"/>
  <c r="I9"/>
  <c r="I8"/>
  <c r="J7"/>
  <c r="I7"/>
  <c r="K7"/>
  <c r="L7"/>
  <c r="J6"/>
  <c r="I6"/>
  <c r="K6"/>
  <c r="L6"/>
  <c r="J5"/>
  <c r="I5"/>
  <c r="K5"/>
  <c r="L5"/>
  <c r="Q5" i="8"/>
  <c r="Q7"/>
  <c r="Q4"/>
  <c r="Q8"/>
  <c r="J9" i="5"/>
  <c r="K9"/>
  <c r="J8"/>
  <c r="M8"/>
  <c r="M15"/>
  <c r="K15"/>
  <c r="M5"/>
  <c r="K5"/>
  <c r="M14"/>
  <c r="K14"/>
  <c r="K8"/>
  <c r="K17"/>
  <c r="M17"/>
  <c r="K7"/>
  <c r="M7"/>
  <c r="K18"/>
  <c r="M18"/>
  <c r="M9"/>
  <c r="K11"/>
  <c r="M11"/>
  <c r="M6"/>
  <c r="M10"/>
  <c r="M16"/>
  <c r="AJ16" i="1"/>
  <c r="AJ11"/>
  <c r="AJ26"/>
  <c r="AJ15"/>
  <c r="AJ10"/>
  <c r="AJ9"/>
  <c r="AJ6"/>
  <c r="AJ36"/>
  <c r="AJ33"/>
  <c r="AJ19"/>
  <c r="AJ14"/>
  <c r="AO7"/>
  <c r="AO8"/>
  <c r="AO9"/>
  <c r="AO10"/>
  <c r="AO11"/>
  <c r="AO12"/>
  <c r="AO13"/>
  <c r="AO14"/>
  <c r="AO15"/>
  <c r="AO16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6"/>
  <c r="AJ34"/>
  <c r="AK34"/>
  <c r="AJ7"/>
  <c r="AJ8"/>
  <c r="AK10"/>
  <c r="AL10"/>
  <c r="AJ12"/>
  <c r="AJ13"/>
  <c r="AK14"/>
  <c r="AL14"/>
  <c r="AJ20"/>
  <c r="AK20"/>
  <c r="AL20"/>
  <c r="AJ21"/>
  <c r="AJ22"/>
  <c r="AJ23"/>
  <c r="AJ24"/>
  <c r="AK24"/>
  <c r="AL24"/>
  <c r="AJ25"/>
  <c r="AK6"/>
  <c r="AL6"/>
  <c r="AK39"/>
  <c r="AK38"/>
  <c r="AK37"/>
  <c r="AI36"/>
  <c r="AI35"/>
  <c r="AI34"/>
  <c r="AK33"/>
  <c r="AL33"/>
  <c r="AI33"/>
  <c r="AI32"/>
  <c r="AJ31"/>
  <c r="AI31"/>
  <c r="AK31"/>
  <c r="AL31"/>
  <c r="AJ30"/>
  <c r="AK30"/>
  <c r="AI30"/>
  <c r="AJ29"/>
  <c r="AK29"/>
  <c r="AI29"/>
  <c r="AI26"/>
  <c r="AI25"/>
  <c r="AK25"/>
  <c r="AI24"/>
  <c r="AI23"/>
  <c r="AK23"/>
  <c r="AK22"/>
  <c r="AI22"/>
  <c r="AI21"/>
  <c r="AK21"/>
  <c r="AI20"/>
  <c r="AI19"/>
  <c r="AK19"/>
  <c r="AL19"/>
  <c r="AI16"/>
  <c r="AI15"/>
  <c r="AK15"/>
  <c r="AL15"/>
  <c r="AI14"/>
  <c r="AI13"/>
  <c r="AK13"/>
  <c r="AL13"/>
  <c r="AI12"/>
  <c r="AI11"/>
  <c r="AK11"/>
  <c r="AL11"/>
  <c r="AI10"/>
  <c r="AI9"/>
  <c r="AK9"/>
  <c r="AL9"/>
  <c r="AI8"/>
  <c r="AI7"/>
  <c r="AK7"/>
  <c r="AL7"/>
  <c r="AI6"/>
  <c r="L31" i="2"/>
  <c r="AD32" i="1"/>
  <c r="AC33"/>
  <c r="AC32"/>
  <c r="AD36"/>
  <c r="AE36"/>
  <c r="AF36"/>
  <c r="AD35"/>
  <c r="AD33"/>
  <c r="AD27"/>
  <c r="AD26"/>
  <c r="AE26"/>
  <c r="AD19"/>
  <c r="L32" i="2"/>
  <c r="L9"/>
  <c r="L27"/>
  <c r="L34"/>
  <c r="L35"/>
  <c r="M35"/>
  <c r="L26"/>
  <c r="L25"/>
  <c r="L18"/>
  <c r="AD14" i="1"/>
  <c r="AD9"/>
  <c r="AD6"/>
  <c r="AE6"/>
  <c r="AF6"/>
  <c r="AD11"/>
  <c r="AD10"/>
  <c r="AD16"/>
  <c r="AE16"/>
  <c r="AF16"/>
  <c r="AD15"/>
  <c r="L17" i="2"/>
  <c r="L16"/>
  <c r="L15"/>
  <c r="L12"/>
  <c r="M12"/>
  <c r="L11"/>
  <c r="L10"/>
  <c r="L6"/>
  <c r="L5"/>
  <c r="M5"/>
  <c r="N5"/>
  <c r="L7"/>
  <c r="L8"/>
  <c r="K7"/>
  <c r="K8"/>
  <c r="K9"/>
  <c r="M9"/>
  <c r="N9"/>
  <c r="K5"/>
  <c r="L19"/>
  <c r="L20"/>
  <c r="L21"/>
  <c r="L22"/>
  <c r="M22"/>
  <c r="N22"/>
  <c r="L23"/>
  <c r="L24"/>
  <c r="K19"/>
  <c r="K20"/>
  <c r="K21"/>
  <c r="K22"/>
  <c r="K23"/>
  <c r="K24"/>
  <c r="K25"/>
  <c r="M25"/>
  <c r="N25"/>
  <c r="L13"/>
  <c r="M13"/>
  <c r="N13"/>
  <c r="L14"/>
  <c r="L28"/>
  <c r="L29"/>
  <c r="L30"/>
  <c r="M30"/>
  <c r="N30"/>
  <c r="L33"/>
  <c r="K35"/>
  <c r="N35"/>
  <c r="K34"/>
  <c r="M34"/>
  <c r="N34"/>
  <c r="K33"/>
  <c r="K32"/>
  <c r="M32"/>
  <c r="N32"/>
  <c r="K31"/>
  <c r="K30"/>
  <c r="K29"/>
  <c r="M29"/>
  <c r="N29"/>
  <c r="K28"/>
  <c r="K27"/>
  <c r="K26"/>
  <c r="M26"/>
  <c r="N26"/>
  <c r="K18"/>
  <c r="K17"/>
  <c r="K16"/>
  <c r="M16"/>
  <c r="N16"/>
  <c r="K15"/>
  <c r="K14"/>
  <c r="K13"/>
  <c r="K12"/>
  <c r="N12"/>
  <c r="K11"/>
  <c r="M11"/>
  <c r="N11"/>
  <c r="K10"/>
  <c r="K6"/>
  <c r="AE35" i="1"/>
  <c r="AF35"/>
  <c r="AC34"/>
  <c r="AC35"/>
  <c r="AD7"/>
  <c r="AE7"/>
  <c r="AD8"/>
  <c r="AE9"/>
  <c r="AF9"/>
  <c r="AD12"/>
  <c r="AE12"/>
  <c r="AD13"/>
  <c r="AE13"/>
  <c r="AF13"/>
  <c r="AE15"/>
  <c r="AF15"/>
  <c r="AD20"/>
  <c r="AE20"/>
  <c r="AF20"/>
  <c r="AD21"/>
  <c r="AE21"/>
  <c r="AF21"/>
  <c r="AD22"/>
  <c r="AD23"/>
  <c r="AD24"/>
  <c r="AD25"/>
  <c r="AD29"/>
  <c r="AE29"/>
  <c r="AF29"/>
  <c r="AD30"/>
  <c r="AE30"/>
  <c r="AF30"/>
  <c r="AD31"/>
  <c r="AE32"/>
  <c r="AF32"/>
  <c r="AD34"/>
  <c r="AE34"/>
  <c r="AF34"/>
  <c r="AE39"/>
  <c r="AE38"/>
  <c r="AE37"/>
  <c r="AC36"/>
  <c r="AE33"/>
  <c r="AF33"/>
  <c r="AC31"/>
  <c r="AC30"/>
  <c r="AC29"/>
  <c r="AE27"/>
  <c r="AF27"/>
  <c r="AC27"/>
  <c r="AC26"/>
  <c r="AF26"/>
  <c r="AC25"/>
  <c r="AC24"/>
  <c r="AC23"/>
  <c r="AE23"/>
  <c r="AF23"/>
  <c r="AC22"/>
  <c r="AC21"/>
  <c r="AC20"/>
  <c r="AC19"/>
  <c r="AC16"/>
  <c r="AC15"/>
  <c r="AC14"/>
  <c r="AE14"/>
  <c r="AF14"/>
  <c r="AC13"/>
  <c r="AC12"/>
  <c r="AF12"/>
  <c r="AF11"/>
  <c r="AC11"/>
  <c r="AE11"/>
  <c r="AC10"/>
  <c r="AC9"/>
  <c r="AC8"/>
  <c r="AE8"/>
  <c r="AF8"/>
  <c r="AF7"/>
  <c r="AC7"/>
  <c r="AC6"/>
  <c r="X32"/>
  <c r="Y32"/>
  <c r="Z32"/>
  <c r="X36"/>
  <c r="W36"/>
  <c r="X33"/>
  <c r="Y33"/>
  <c r="Z33"/>
  <c r="X27"/>
  <c r="Y27"/>
  <c r="Z27"/>
  <c r="X26"/>
  <c r="Y26"/>
  <c r="Z26"/>
  <c r="X19"/>
  <c r="X16"/>
  <c r="Y16"/>
  <c r="Z16"/>
  <c r="X15"/>
  <c r="Y15"/>
  <c r="Z15"/>
  <c r="X14"/>
  <c r="X11"/>
  <c r="X10"/>
  <c r="Y10"/>
  <c r="Z10"/>
  <c r="X9"/>
  <c r="Y9"/>
  <c r="Z9"/>
  <c r="X6"/>
  <c r="Z31"/>
  <c r="Z29"/>
  <c r="W29"/>
  <c r="W30"/>
  <c r="W31"/>
  <c r="W32"/>
  <c r="X7"/>
  <c r="X8"/>
  <c r="Y8"/>
  <c r="Z8"/>
  <c r="X12"/>
  <c r="Y12"/>
  <c r="Z12"/>
  <c r="X13"/>
  <c r="X20"/>
  <c r="Y20"/>
  <c r="Z20"/>
  <c r="X21"/>
  <c r="X22"/>
  <c r="Y22"/>
  <c r="Z22"/>
  <c r="X23"/>
  <c r="X24"/>
  <c r="Y24"/>
  <c r="Z24"/>
  <c r="X25"/>
  <c r="X29"/>
  <c r="Y29"/>
  <c r="X30"/>
  <c r="Y30"/>
  <c r="Z30"/>
  <c r="X31"/>
  <c r="Y31"/>
  <c r="X34"/>
  <c r="Y39"/>
  <c r="Y38"/>
  <c r="Y37"/>
  <c r="W34"/>
  <c r="W33"/>
  <c r="W27"/>
  <c r="W26"/>
  <c r="W25"/>
  <c r="Y25"/>
  <c r="Z25"/>
  <c r="W24"/>
  <c r="W23"/>
  <c r="Y23"/>
  <c r="Z23"/>
  <c r="W22"/>
  <c r="W21"/>
  <c r="Y21"/>
  <c r="Z21"/>
  <c r="W20"/>
  <c r="W19"/>
  <c r="W16"/>
  <c r="W15"/>
  <c r="W14"/>
  <c r="W13"/>
  <c r="Y13"/>
  <c r="Z13"/>
  <c r="W12"/>
  <c r="W11"/>
  <c r="Y11"/>
  <c r="Z11"/>
  <c r="W10"/>
  <c r="W9"/>
  <c r="W8"/>
  <c r="W7"/>
  <c r="W6"/>
  <c r="Y6"/>
  <c r="Z6"/>
  <c r="R36"/>
  <c r="S36"/>
  <c r="T36"/>
  <c r="R33"/>
  <c r="R34"/>
  <c r="R35"/>
  <c r="R28"/>
  <c r="S28"/>
  <c r="T28"/>
  <c r="R27"/>
  <c r="S27"/>
  <c r="T27"/>
  <c r="R26"/>
  <c r="S26"/>
  <c r="T26"/>
  <c r="R19"/>
  <c r="R16"/>
  <c r="S16"/>
  <c r="T16"/>
  <c r="R15"/>
  <c r="R14"/>
  <c r="S14"/>
  <c r="T14"/>
  <c r="R11"/>
  <c r="S11"/>
  <c r="T11"/>
  <c r="R10"/>
  <c r="S10"/>
  <c r="T10"/>
  <c r="R9"/>
  <c r="S9"/>
  <c r="T9"/>
  <c r="R6"/>
  <c r="R7"/>
  <c r="S7"/>
  <c r="T7"/>
  <c r="R8"/>
  <c r="R12"/>
  <c r="R13"/>
  <c r="R20"/>
  <c r="S20"/>
  <c r="R21"/>
  <c r="R22"/>
  <c r="R23"/>
  <c r="R24"/>
  <c r="S24"/>
  <c r="T24"/>
  <c r="R25"/>
  <c r="R29"/>
  <c r="S29"/>
  <c r="T29"/>
  <c r="R30"/>
  <c r="R31"/>
  <c r="S39"/>
  <c r="S38"/>
  <c r="S37"/>
  <c r="Q36"/>
  <c r="S35"/>
  <c r="T35"/>
  <c r="Q35"/>
  <c r="Q34"/>
  <c r="Q33"/>
  <c r="S33"/>
  <c r="T33"/>
  <c r="Q31"/>
  <c r="Q30"/>
  <c r="S30"/>
  <c r="T30"/>
  <c r="Q29"/>
  <c r="Q28"/>
  <c r="Q27"/>
  <c r="Q26"/>
  <c r="Q25"/>
  <c r="S25"/>
  <c r="T25"/>
  <c r="Q24"/>
  <c r="Q23"/>
  <c r="S23"/>
  <c r="T23"/>
  <c r="Q22"/>
  <c r="S22"/>
  <c r="T22"/>
  <c r="Q21"/>
  <c r="S21"/>
  <c r="T21"/>
  <c r="T20"/>
  <c r="Q20"/>
  <c r="Q19"/>
  <c r="S19"/>
  <c r="T19"/>
  <c r="Q16"/>
  <c r="Q15"/>
  <c r="Q14"/>
  <c r="Q13"/>
  <c r="S13"/>
  <c r="T13"/>
  <c r="Q12"/>
  <c r="Q11"/>
  <c r="Q10"/>
  <c r="Q9"/>
  <c r="Q8"/>
  <c r="S8"/>
  <c r="T8"/>
  <c r="Q7"/>
  <c r="Q6"/>
  <c r="L14"/>
  <c r="M14"/>
  <c r="N14"/>
  <c r="L16"/>
  <c r="L36"/>
  <c r="M36"/>
  <c r="N36"/>
  <c r="L35"/>
  <c r="L33"/>
  <c r="L32"/>
  <c r="M32"/>
  <c r="N32"/>
  <c r="L28"/>
  <c r="M28"/>
  <c r="N28"/>
  <c r="L26"/>
  <c r="L19"/>
  <c r="L27"/>
  <c r="M27"/>
  <c r="N27"/>
  <c r="M10"/>
  <c r="N10"/>
  <c r="M37"/>
  <c r="M38"/>
  <c r="M39"/>
  <c r="L15"/>
  <c r="M15"/>
  <c r="N15"/>
  <c r="L11"/>
  <c r="L10"/>
  <c r="L9"/>
  <c r="L7"/>
  <c r="L8"/>
  <c r="M8"/>
  <c r="N8"/>
  <c r="L12"/>
  <c r="M12"/>
  <c r="N12"/>
  <c r="L13"/>
  <c r="L20"/>
  <c r="M20"/>
  <c r="N20"/>
  <c r="L21"/>
  <c r="L22"/>
  <c r="L23"/>
  <c r="L24"/>
  <c r="M24"/>
  <c r="N24"/>
  <c r="L25"/>
  <c r="L29"/>
  <c r="M29"/>
  <c r="N29"/>
  <c r="L30"/>
  <c r="L31"/>
  <c r="M31"/>
  <c r="N31"/>
  <c r="L34"/>
  <c r="M34"/>
  <c r="N34"/>
  <c r="L6"/>
  <c r="M6"/>
  <c r="N6"/>
  <c r="K7"/>
  <c r="M7"/>
  <c r="N7"/>
  <c r="K8"/>
  <c r="K9"/>
  <c r="K10"/>
  <c r="K11"/>
  <c r="K12"/>
  <c r="K13"/>
  <c r="M13"/>
  <c r="N13"/>
  <c r="K14"/>
  <c r="K15"/>
  <c r="K16"/>
  <c r="K19"/>
  <c r="K20"/>
  <c r="K21"/>
  <c r="K22"/>
  <c r="M22"/>
  <c r="N22"/>
  <c r="K23"/>
  <c r="K24"/>
  <c r="K25"/>
  <c r="K26"/>
  <c r="K27"/>
  <c r="K28"/>
  <c r="K29"/>
  <c r="K30"/>
  <c r="K31"/>
  <c r="K32"/>
  <c r="K33"/>
  <c r="K34"/>
  <c r="K35"/>
  <c r="M35"/>
  <c r="N35"/>
  <c r="K36"/>
  <c r="K6"/>
  <c r="Y36"/>
  <c r="Z36"/>
  <c r="M15" i="2"/>
  <c r="N15"/>
  <c r="M18"/>
  <c r="N18"/>
  <c r="M17"/>
  <c r="N17"/>
  <c r="M14"/>
  <c r="N14"/>
  <c r="M21"/>
  <c r="N21"/>
  <c r="M6"/>
  <c r="N6"/>
  <c r="M23"/>
  <c r="N23"/>
  <c r="M7"/>
  <c r="N7"/>
  <c r="AE19" i="1"/>
  <c r="AF19"/>
  <c r="M30"/>
  <c r="N30"/>
  <c r="M26"/>
  <c r="N26"/>
  <c r="S31"/>
  <c r="T31"/>
  <c r="S6"/>
  <c r="T6"/>
  <c r="AE25"/>
  <c r="AF25"/>
  <c r="Y14"/>
  <c r="Z14"/>
  <c r="M10" i="2"/>
  <c r="N10"/>
  <c r="M27"/>
  <c r="N27"/>
  <c r="M19"/>
  <c r="N19"/>
  <c r="M20"/>
  <c r="N20"/>
  <c r="M33"/>
  <c r="N33"/>
  <c r="M28"/>
  <c r="N28"/>
  <c r="M31"/>
  <c r="N31"/>
  <c r="AL21" i="1"/>
  <c r="M19"/>
  <c r="N19"/>
  <c r="AE22"/>
  <c r="AF22"/>
  <c r="AL29"/>
  <c r="AL34"/>
  <c r="M23"/>
  <c r="N23"/>
  <c r="AL23"/>
  <c r="M21"/>
  <c r="N21"/>
  <c r="M11"/>
  <c r="N11"/>
  <c r="S15"/>
  <c r="T15"/>
  <c r="S34"/>
  <c r="T34"/>
  <c r="Y34"/>
  <c r="Z34"/>
  <c r="Y7"/>
  <c r="Z7"/>
  <c r="AE24"/>
  <c r="AF24"/>
  <c r="M24" i="2"/>
  <c r="N24"/>
  <c r="M8"/>
  <c r="N8"/>
  <c r="Y19" i="1"/>
  <c r="Z19"/>
  <c r="M25"/>
  <c r="N25"/>
  <c r="AL25"/>
  <c r="M9"/>
  <c r="N9"/>
  <c r="M33"/>
  <c r="N33"/>
  <c r="M16"/>
  <c r="N16"/>
  <c r="S12"/>
  <c r="T12"/>
  <c r="AE31"/>
  <c r="AF31"/>
  <c r="AE10"/>
  <c r="AF10"/>
  <c r="AL22"/>
  <c r="AL30"/>
  <c r="AK26"/>
  <c r="AL26"/>
  <c r="AK16"/>
  <c r="AL16"/>
  <c r="AK12"/>
  <c r="AL12"/>
  <c r="AK8"/>
  <c r="AL8"/>
  <c r="AK36"/>
  <c r="AL36"/>
</calcChain>
</file>

<file path=xl/comments1.xml><?xml version="1.0" encoding="utf-8"?>
<comments xmlns="http://schemas.openxmlformats.org/spreadsheetml/2006/main">
  <authors>
    <author>Ian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Temporary Number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Cruising Chute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2019, but needs adjusting.  Normally sail with Cruising Chute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Reviewed 07/09/19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Autumn Series Only</t>
        </r>
      </text>
    </comment>
  </commentList>
</comments>
</file>

<file path=xl/comments2.xml><?xml version="1.0" encoding="utf-8"?>
<comments xmlns="http://schemas.openxmlformats.org/spreadsheetml/2006/main">
  <authors>
    <author>Ian</author>
  </authors>
  <commentList>
    <comment ref="F2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Temporary Number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Cruising Chute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2019, but needs adjusting.  Normally sail with Cruising Chute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Reviewed 07/09/19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Autumn Series Only</t>
        </r>
      </text>
    </comment>
  </commentList>
</comments>
</file>

<file path=xl/comments3.xml><?xml version="1.0" encoding="utf-8"?>
<comments xmlns="http://schemas.openxmlformats.org/spreadsheetml/2006/main">
  <authors>
    <author>Ian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Ian:</t>
        </r>
        <r>
          <rPr>
            <sz val="9"/>
            <color indexed="81"/>
            <rFont val="Tahoma"/>
            <charset val="1"/>
          </rPr>
          <t xml:space="preserve">
White Sail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Cruising Chute</t>
        </r>
      </text>
    </comment>
  </commentList>
</comments>
</file>

<file path=xl/comments4.xml><?xml version="1.0" encoding="utf-8"?>
<comments xmlns="http://schemas.openxmlformats.org/spreadsheetml/2006/main">
  <authors>
    <author>Ian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White Sail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Cruising Chute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Ian:</t>
        </r>
        <r>
          <rPr>
            <sz val="9"/>
            <color indexed="81"/>
            <rFont val="Tahoma"/>
            <charset val="1"/>
          </rPr>
          <t xml:space="preserve">
White Sail</t>
        </r>
      </text>
    </comment>
  </commentList>
</comments>
</file>

<file path=xl/comments5.xml><?xml version="1.0" encoding="utf-8"?>
<comments xmlns="http://schemas.openxmlformats.org/spreadsheetml/2006/main">
  <authors>
    <author>Ian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</commentList>
</comments>
</file>

<file path=xl/comments6.xml><?xml version="1.0" encoding="utf-8"?>
<comments xmlns="http://schemas.openxmlformats.org/spreadsheetml/2006/main">
  <authors>
    <author>Ian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Cruising Chute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2019, but needs adjusting.  Normally sail with Cruising Chute</t>
        </r>
      </text>
    </comment>
  </commentList>
</comments>
</file>

<file path=xl/sharedStrings.xml><?xml version="1.0" encoding="utf-8"?>
<sst xmlns="http://schemas.openxmlformats.org/spreadsheetml/2006/main" count="1119" uniqueCount="380">
  <si>
    <t>First Name</t>
  </si>
  <si>
    <t>Last Name</t>
  </si>
  <si>
    <t xml:space="preserve">Andrew </t>
  </si>
  <si>
    <t>Beveridge</t>
  </si>
  <si>
    <t>Barrie</t>
  </si>
  <si>
    <t>Hallett</t>
  </si>
  <si>
    <t>Tommy &amp; Gill</t>
  </si>
  <si>
    <t>Taylor</t>
  </si>
  <si>
    <t>Yacht</t>
  </si>
  <si>
    <t>Spirit of Yealm</t>
  </si>
  <si>
    <t>Horizon</t>
  </si>
  <si>
    <t>Impulse</t>
  </si>
  <si>
    <t xml:space="preserve">Ian </t>
  </si>
  <si>
    <t>Kennedy</t>
  </si>
  <si>
    <t>Mike</t>
  </si>
  <si>
    <t>Knight</t>
  </si>
  <si>
    <t>Wilcox</t>
  </si>
  <si>
    <t>Hemelik</t>
  </si>
  <si>
    <t>Laurie</t>
  </si>
  <si>
    <t>Wilson</t>
  </si>
  <si>
    <t>Dickie &amp; Karen</t>
  </si>
  <si>
    <t>Adam</t>
  </si>
  <si>
    <t>Balladier</t>
  </si>
  <si>
    <t>Phryne</t>
  </si>
  <si>
    <t>Matthews</t>
  </si>
  <si>
    <t>Duncan</t>
  </si>
  <si>
    <t>Alan</t>
  </si>
  <si>
    <t>Tony</t>
  </si>
  <si>
    <t>Stephen</t>
  </si>
  <si>
    <t>Maltby</t>
  </si>
  <si>
    <t>Simon</t>
  </si>
  <si>
    <t>Julien</t>
  </si>
  <si>
    <t>Zest</t>
  </si>
  <si>
    <t>Cunning Plan</t>
  </si>
  <si>
    <t>Leonard</t>
  </si>
  <si>
    <t>Calisto</t>
  </si>
  <si>
    <t>Booth</t>
  </si>
  <si>
    <t>Tubb</t>
  </si>
  <si>
    <t>Class 1</t>
  </si>
  <si>
    <t>Class 2</t>
  </si>
  <si>
    <t>Magic Dragon</t>
  </si>
  <si>
    <t>Chris &amp; Sarah</t>
  </si>
  <si>
    <t>Williams</t>
  </si>
  <si>
    <t>Mason</t>
  </si>
  <si>
    <t>Macpherson</t>
  </si>
  <si>
    <t>Lomax</t>
  </si>
  <si>
    <t>Katy Rawa</t>
  </si>
  <si>
    <t>Dan</t>
  </si>
  <si>
    <t>Fellows</t>
  </si>
  <si>
    <t>City Lights</t>
  </si>
  <si>
    <t>Nightstar</t>
  </si>
  <si>
    <t>Spero</t>
  </si>
  <si>
    <t>Peters</t>
  </si>
  <si>
    <t>Kristina</t>
  </si>
  <si>
    <t>Saltheart</t>
  </si>
  <si>
    <t>Satisfaction</t>
  </si>
  <si>
    <t>Richardson</t>
  </si>
  <si>
    <t>White</t>
  </si>
  <si>
    <t>Paul</t>
  </si>
  <si>
    <t>Eliminator</t>
  </si>
  <si>
    <t>Andiamo 2</t>
  </si>
  <si>
    <t>Andy</t>
  </si>
  <si>
    <t>Hullabaloo</t>
  </si>
  <si>
    <t>Page</t>
  </si>
  <si>
    <t>Arthur</t>
  </si>
  <si>
    <t>Jon</t>
  </si>
  <si>
    <t>Pegg</t>
  </si>
  <si>
    <t>Chris</t>
  </si>
  <si>
    <t>Alex</t>
  </si>
  <si>
    <t>Siskin</t>
  </si>
  <si>
    <t xml:space="preserve">Dominic </t>
  </si>
  <si>
    <t>Crawley</t>
  </si>
  <si>
    <t>Maxi 1300</t>
  </si>
  <si>
    <t>PHN</t>
  </si>
  <si>
    <t>PHN WS</t>
  </si>
  <si>
    <t>IRC</t>
  </si>
  <si>
    <t>Sail Number</t>
  </si>
  <si>
    <t>GBR 3095</t>
  </si>
  <si>
    <t>GBR 9430T</t>
  </si>
  <si>
    <t>GBR 9452T</t>
  </si>
  <si>
    <t>Blue</t>
  </si>
  <si>
    <t>K 8839Y</t>
  </si>
  <si>
    <t>GBR 5062T</t>
  </si>
  <si>
    <t>GBR 1547C</t>
  </si>
  <si>
    <t>none</t>
  </si>
  <si>
    <t>9113Y</t>
  </si>
  <si>
    <t>Beswick</t>
  </si>
  <si>
    <t>Ellie Too</t>
  </si>
  <si>
    <t>Roger</t>
  </si>
  <si>
    <t>Boult</t>
  </si>
  <si>
    <t>Devonair</t>
  </si>
  <si>
    <t>4691L</t>
  </si>
  <si>
    <t>Roy</t>
  </si>
  <si>
    <t>Robert</t>
  </si>
  <si>
    <t>Pitts</t>
  </si>
  <si>
    <t>GBR 7969T</t>
  </si>
  <si>
    <t>Watermark</t>
  </si>
  <si>
    <t>GBR 2056L</t>
  </si>
  <si>
    <t>GBR 735R</t>
  </si>
  <si>
    <t>1639T</t>
  </si>
  <si>
    <t>GBR5913T</t>
  </si>
  <si>
    <t>Hull Colour</t>
  </si>
  <si>
    <t>Grey</t>
  </si>
  <si>
    <t>Start Time</t>
  </si>
  <si>
    <t>Finish Time</t>
  </si>
  <si>
    <t>Elapsed Time</t>
  </si>
  <si>
    <t>Position</t>
  </si>
  <si>
    <t>George</t>
  </si>
  <si>
    <t>Roanna</t>
  </si>
  <si>
    <t>Peter &amp; Ian</t>
  </si>
  <si>
    <t>Class</t>
  </si>
  <si>
    <t>Albin Ballad</t>
  </si>
  <si>
    <t>Geoff</t>
  </si>
  <si>
    <t>Cooper</t>
  </si>
  <si>
    <t>Lily</t>
  </si>
  <si>
    <t>SM C 20</t>
  </si>
  <si>
    <t>Out of the Blue</t>
  </si>
  <si>
    <t>Sean</t>
  </si>
  <si>
    <t>Cochrane</t>
  </si>
  <si>
    <t>Amalfi</t>
  </si>
  <si>
    <t>Robin</t>
  </si>
  <si>
    <t>Pratten</t>
  </si>
  <si>
    <t>Fable of Yealm</t>
  </si>
  <si>
    <t>3062L</t>
  </si>
  <si>
    <t>9200T</t>
  </si>
  <si>
    <t>Albin Express</t>
  </si>
  <si>
    <t>NI Lugger</t>
  </si>
  <si>
    <t>Moody 29</t>
  </si>
  <si>
    <t>Maxi 1050</t>
  </si>
  <si>
    <t>Queen Class 38</t>
  </si>
  <si>
    <t>Westerly Regatta 370</t>
  </si>
  <si>
    <t>First 33.7</t>
  </si>
  <si>
    <t>HOD35</t>
  </si>
  <si>
    <t>Jeanneau 379LK</t>
  </si>
  <si>
    <t xml:space="preserve">Moody </t>
  </si>
  <si>
    <t>MG335</t>
  </si>
  <si>
    <t>Beneteau First 305</t>
  </si>
  <si>
    <t>Moody 31</t>
  </si>
  <si>
    <t>Jeanneau 33</t>
  </si>
  <si>
    <t>MGC27</t>
  </si>
  <si>
    <t>Dehler 34</t>
  </si>
  <si>
    <t>Vancouver 27</t>
  </si>
  <si>
    <t>Westerly Storm 33</t>
  </si>
  <si>
    <t>Sadler 34</t>
  </si>
  <si>
    <t>Sheer Madness</t>
  </si>
  <si>
    <t>GBR1551L</t>
  </si>
  <si>
    <t>Jouet 950</t>
  </si>
  <si>
    <t>Eagle 44</t>
  </si>
  <si>
    <t>T8474</t>
  </si>
  <si>
    <t>Dehler 41</t>
  </si>
  <si>
    <t>Sun Oddyssey 32</t>
  </si>
  <si>
    <t>Grand Soleil 45</t>
  </si>
  <si>
    <t>Chris &amp; Andrew</t>
  </si>
  <si>
    <t>Jan, John &amp; Peter</t>
  </si>
  <si>
    <t>Xara</t>
  </si>
  <si>
    <t>XP44</t>
  </si>
  <si>
    <t>Sancerre Rouge</t>
  </si>
  <si>
    <t>GibSea</t>
  </si>
  <si>
    <t>GBR4568T</t>
  </si>
  <si>
    <t>GBR4253T</t>
  </si>
  <si>
    <t>Starlight 35</t>
  </si>
  <si>
    <t>Whiskers</t>
  </si>
  <si>
    <t>Quarter Tonner</t>
  </si>
  <si>
    <t>GBR44X</t>
  </si>
  <si>
    <t>GBR 902R</t>
  </si>
  <si>
    <t>Robson</t>
  </si>
  <si>
    <t>Roni</t>
  </si>
  <si>
    <t>Rustler 36</t>
  </si>
  <si>
    <t>IRC WS</t>
  </si>
  <si>
    <t>YYC AUTUMN SERIES 2019 - PROVISIONAL RESULTS</t>
  </si>
  <si>
    <t>Corrected Time</t>
  </si>
  <si>
    <t>Points</t>
  </si>
  <si>
    <t>RACE 1</t>
  </si>
  <si>
    <t>RACE 2</t>
  </si>
  <si>
    <t>DNS</t>
  </si>
  <si>
    <t>RACE 3</t>
  </si>
  <si>
    <t>Race Officer - Peter Taylor, Wind W 5-8Knts, Course S to Port</t>
  </si>
  <si>
    <t xml:space="preserve">Race Officer - Peter Hemelik, Wind S 10-20Knts, Course </t>
  </si>
  <si>
    <t>Race Officer - Peter Taylor, Wind 2-8 Knts SE, Course H to Starboard</t>
  </si>
  <si>
    <t>RACE 5</t>
  </si>
  <si>
    <t>YYC AUTUMN SERIES YHQ LAYING UP CUP 2019</t>
  </si>
  <si>
    <t xml:space="preserve">YHQ RACE </t>
  </si>
  <si>
    <t>Adjusted PH Races 1-3</t>
  </si>
  <si>
    <t>Race Officer - Peter Taylor, Wind WNW 15-25 Knts, Course S to Port</t>
  </si>
  <si>
    <t>RACE 6</t>
  </si>
  <si>
    <t>Total Points</t>
  </si>
  <si>
    <t>Overall Position</t>
  </si>
  <si>
    <t>4=</t>
  </si>
  <si>
    <t>2=</t>
  </si>
  <si>
    <t>YYC COASTAL PASSAGE RACE 1 SATURDAY 25 MAY - ENTRANTS &amp; RESULTS</t>
  </si>
  <si>
    <r>
      <t xml:space="preserve">Class 1 (IRC) </t>
    </r>
    <r>
      <rPr>
        <sz val="11"/>
        <color theme="1"/>
        <rFont val="Calibri"/>
        <family val="2"/>
        <scheme val="minor"/>
      </rPr>
      <t>- WSW 2-3, Mouthstone Start - Eddystone to Port - Salcombe Range Finish</t>
    </r>
  </si>
  <si>
    <t>William</t>
  </si>
  <si>
    <t>Mumford</t>
  </si>
  <si>
    <t>Tarantella</t>
  </si>
  <si>
    <t>JOD35</t>
  </si>
  <si>
    <t>GBR 8956T</t>
  </si>
  <si>
    <t>RET</t>
  </si>
  <si>
    <r>
      <t xml:space="preserve">Class 2 (PH) </t>
    </r>
    <r>
      <rPr>
        <sz val="11"/>
        <color theme="1"/>
        <rFont val="Calibri"/>
        <family val="2"/>
        <scheme val="minor"/>
      </rPr>
      <t>- WSW 2-3, Mouthstone Start - Wells Rock to Stbd - Salcombe Range Finish</t>
    </r>
  </si>
  <si>
    <t>YYC COASTAL PASSAGE RACE 2 - YEALM TO FOWEY</t>
  </si>
  <si>
    <t>Wind E 2 to 3, SS Slight</t>
  </si>
  <si>
    <t>Start</t>
  </si>
  <si>
    <t>Finish</t>
  </si>
  <si>
    <t>Alex &amp; Sian</t>
  </si>
  <si>
    <t>NA</t>
  </si>
  <si>
    <t>YYC EDDYSTONE RACE RESULTS - SATURDAY 6 JULY</t>
  </si>
  <si>
    <t>Class Corrected Time</t>
  </si>
  <si>
    <t>Class Position</t>
  </si>
  <si>
    <t>Overall PH Corrected Time</t>
  </si>
  <si>
    <t>Overall PH Position</t>
  </si>
  <si>
    <t>Pascoe</t>
  </si>
  <si>
    <t>Blackjack</t>
  </si>
  <si>
    <t>Beneteau First 35</t>
  </si>
  <si>
    <t>GBR7350R</t>
  </si>
  <si>
    <t>Steve</t>
  </si>
  <si>
    <t>Andrew</t>
  </si>
  <si>
    <t>Sunfire</t>
  </si>
  <si>
    <t>Jeanneau Sunfast 3200 R2</t>
  </si>
  <si>
    <t>GBR3202N</t>
  </si>
  <si>
    <t>Neil</t>
  </si>
  <si>
    <t>Trathen</t>
  </si>
  <si>
    <t>Elusive</t>
  </si>
  <si>
    <t>Laser 28</t>
  </si>
  <si>
    <t>GBR1191T</t>
  </si>
  <si>
    <t>GBR902R</t>
  </si>
  <si>
    <t>John</t>
  </si>
  <si>
    <t>Gorman</t>
  </si>
  <si>
    <t>Italian Job</t>
  </si>
  <si>
    <t>J24</t>
  </si>
  <si>
    <t>GBR4251</t>
  </si>
  <si>
    <t>Peter &amp; Tam</t>
  </si>
  <si>
    <t>Middleton</t>
  </si>
  <si>
    <t>Goody Two Shoes</t>
  </si>
  <si>
    <t>Elan 333</t>
  </si>
  <si>
    <t xml:space="preserve">Mark </t>
  </si>
  <si>
    <t>Hanley</t>
  </si>
  <si>
    <t>Moonfish</t>
  </si>
  <si>
    <t>Beneteau</t>
  </si>
  <si>
    <t>IRL2005</t>
  </si>
  <si>
    <t xml:space="preserve">Jonny </t>
  </si>
  <si>
    <t>Martin</t>
  </si>
  <si>
    <t>Raindancer</t>
  </si>
  <si>
    <t>Wharram Tiki 26</t>
  </si>
  <si>
    <t>806M</t>
  </si>
  <si>
    <t>MAY TRIANGLE SERIES RESULTS - 4-6 MAY 2019</t>
  </si>
  <si>
    <t>LEG 1 - YEALM TO FALMOUTH</t>
  </si>
  <si>
    <t>LEG 2 - FALMOUTH TO FOWEY</t>
  </si>
  <si>
    <t>LEG 3 - FOWEY TO YEALM</t>
  </si>
  <si>
    <t>Series Points</t>
  </si>
  <si>
    <t>Series Position</t>
  </si>
  <si>
    <t>Elapsed</t>
  </si>
  <si>
    <t>Corrected</t>
  </si>
  <si>
    <t>DNF</t>
  </si>
  <si>
    <t>5=</t>
  </si>
  <si>
    <r>
      <t xml:space="preserve">THE WOMEN'S HELM RACE - 21 JULY 2019  </t>
    </r>
    <r>
      <rPr>
        <sz val="11"/>
        <color theme="1"/>
        <rFont val="Calibri"/>
        <family val="2"/>
        <scheme val="minor"/>
      </rPr>
      <t>Course C to Port, Wind SW 2, SS 2/3</t>
    </r>
  </si>
  <si>
    <t>Sail No</t>
  </si>
  <si>
    <t>PH</t>
  </si>
  <si>
    <t>Class 1 &amp; 2</t>
  </si>
  <si>
    <t>Fiona</t>
  </si>
  <si>
    <t>Dearn</t>
  </si>
  <si>
    <t>Caroline</t>
  </si>
  <si>
    <t>Victoria</t>
  </si>
  <si>
    <t>Sarah</t>
  </si>
  <si>
    <t>Antonia</t>
  </si>
  <si>
    <t>Joyce</t>
  </si>
  <si>
    <t>Katy</t>
  </si>
  <si>
    <t>Parsons</t>
  </si>
  <si>
    <t>PURSUIT RACE - ENTRANTS &amp; START TIMES</t>
  </si>
  <si>
    <t>Length ft</t>
  </si>
  <si>
    <t>Length m</t>
  </si>
  <si>
    <t>Race Length</t>
  </si>
  <si>
    <t>Pursuit Start Time</t>
  </si>
  <si>
    <t>Xara Time</t>
  </si>
  <si>
    <t>Andiamo Time</t>
  </si>
  <si>
    <t>Difference Between Slowest &amp; Fastest</t>
  </si>
  <si>
    <t>RESULTS</t>
  </si>
  <si>
    <t>29th SUMMERTIME TREBEURDEN RACE ENTRANTS &amp; RESULTS - 2019</t>
  </si>
  <si>
    <t>IRC/ MOCRA</t>
  </si>
  <si>
    <t>Day Adjustment</t>
  </si>
  <si>
    <t>PH Overall MonoHull</t>
  </si>
  <si>
    <t>Overall</t>
  </si>
  <si>
    <t>Koehler</t>
  </si>
  <si>
    <t>Joyride</t>
  </si>
  <si>
    <t>Jeanneau Sunfast 3200 1.9</t>
  </si>
  <si>
    <t>4528L</t>
  </si>
  <si>
    <t>Rob</t>
  </si>
  <si>
    <t>Fletcher</t>
  </si>
  <si>
    <t>Isaydingdong</t>
  </si>
  <si>
    <t>Beneteau 34.7</t>
  </si>
  <si>
    <t>GBR6702R</t>
  </si>
  <si>
    <t>Edwards</t>
  </si>
  <si>
    <t>Moondust</t>
  </si>
  <si>
    <t>First 40.7</t>
  </si>
  <si>
    <t>GBR9937T</t>
  </si>
  <si>
    <t>Carol</t>
  </si>
  <si>
    <t>Hammond</t>
  </si>
  <si>
    <t>Kotuku</t>
  </si>
  <si>
    <t>Beneteau First 31.7</t>
  </si>
  <si>
    <t>GBR8243T</t>
  </si>
  <si>
    <t>RETD</t>
  </si>
  <si>
    <t>Littlejohn</t>
  </si>
  <si>
    <t>Flying Colours</t>
  </si>
  <si>
    <t>Sun Odyssey 36.2</t>
  </si>
  <si>
    <t>4558L</t>
  </si>
  <si>
    <t xml:space="preserve">Robert </t>
  </si>
  <si>
    <t>Suggett</t>
  </si>
  <si>
    <t>Sir Jasper</t>
  </si>
  <si>
    <t>Jeanneau Sunfast 32</t>
  </si>
  <si>
    <t>GBR9457R</t>
  </si>
  <si>
    <t>Ashley</t>
  </si>
  <si>
    <t>Davies</t>
  </si>
  <si>
    <t>Crazy Rhythm</t>
  </si>
  <si>
    <t>Feeling 850 Club</t>
  </si>
  <si>
    <t>Pearson</t>
  </si>
  <si>
    <t>Sorcerer</t>
  </si>
  <si>
    <t>Nicholson 345</t>
  </si>
  <si>
    <t>GBR1491C</t>
  </si>
  <si>
    <t>YTC</t>
  </si>
  <si>
    <t>Pierre</t>
  </si>
  <si>
    <t>Pascual</t>
  </si>
  <si>
    <t>Islamorada</t>
  </si>
  <si>
    <t>Oceanis 41</t>
  </si>
  <si>
    <t>F</t>
  </si>
  <si>
    <t>Charles</t>
  </si>
  <si>
    <t>Perrier</t>
  </si>
  <si>
    <t>Heol 2</t>
  </si>
  <si>
    <t>First 36.7</t>
  </si>
  <si>
    <t>Didier</t>
  </si>
  <si>
    <t>Laurin</t>
  </si>
  <si>
    <t>Pen Kalet</t>
  </si>
  <si>
    <t>Ovni 42</t>
  </si>
  <si>
    <t>Jean Francois</t>
  </si>
  <si>
    <t>Brajon</t>
  </si>
  <si>
    <t>Waikikkimie</t>
  </si>
  <si>
    <t>Sun Odyssey 40.3</t>
  </si>
  <si>
    <t>Patrick</t>
  </si>
  <si>
    <t>Estable</t>
  </si>
  <si>
    <t>Nazgul</t>
  </si>
  <si>
    <t>Dufour 34</t>
  </si>
  <si>
    <t xml:space="preserve">Eric </t>
  </si>
  <si>
    <t>Clouet</t>
  </si>
  <si>
    <t>Tocilia 2</t>
  </si>
  <si>
    <t>Dufour 325</t>
  </si>
  <si>
    <t>Christophe</t>
  </si>
  <si>
    <t>Cubier</t>
  </si>
  <si>
    <t>Ritchi</t>
  </si>
  <si>
    <t>Sun Fast 31</t>
  </si>
  <si>
    <t>Lauurens</t>
  </si>
  <si>
    <t>Skrabik 5</t>
  </si>
  <si>
    <t>Feeling 30Q</t>
  </si>
  <si>
    <t xml:space="preserve">J J </t>
  </si>
  <si>
    <t>Bagot</t>
  </si>
  <si>
    <t>Sav Heol</t>
  </si>
  <si>
    <t>Cabernet</t>
  </si>
  <si>
    <t>Paul-Marie</t>
  </si>
  <si>
    <t>Condrier</t>
  </si>
  <si>
    <t>Lazy Girl</t>
  </si>
  <si>
    <t>Challenger</t>
  </si>
  <si>
    <t>Class 3 MultiHulls</t>
  </si>
  <si>
    <t xml:space="preserve">Chris </t>
  </si>
  <si>
    <t>Briggs</t>
  </si>
  <si>
    <t>The Edge</t>
  </si>
  <si>
    <t>Irens Monotype Trimaran</t>
  </si>
  <si>
    <t>GBR3238M</t>
  </si>
  <si>
    <t>Lee</t>
  </si>
  <si>
    <t>Twister</t>
  </si>
  <si>
    <t>Farrier F9R</t>
  </si>
  <si>
    <t>676M</t>
  </si>
  <si>
    <t>Baker</t>
  </si>
  <si>
    <t>Hissy Fit</t>
  </si>
  <si>
    <t>Dazcat 1495</t>
  </si>
  <si>
    <t>GBR788M</t>
  </si>
  <si>
    <t>Silver</t>
  </si>
  <si>
    <t>Nigel</t>
  </si>
  <si>
    <t>Passmore</t>
  </si>
  <si>
    <t>Apollo</t>
  </si>
  <si>
    <t>GBR11N</t>
  </si>
  <si>
    <t>Broughton</t>
  </si>
  <si>
    <t>Easy Tiger</t>
  </si>
  <si>
    <t xml:space="preserve">Dazcat </t>
  </si>
  <si>
    <t>GBR786M</t>
  </si>
</sst>
</file>

<file path=xl/styles.xml><?xml version="1.0" encoding="utf-8"?>
<styleSheet xmlns="http://schemas.openxmlformats.org/spreadsheetml/2006/main">
  <numFmts count="2">
    <numFmt numFmtId="169" formatCode="hh:mm:ss;@"/>
    <numFmt numFmtId="170" formatCode="[$-F400]h:mm:ss\ AM/PM"/>
  </numFmts>
  <fonts count="40">
    <font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201F1E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30" applyNumberFormat="0" applyAlignment="0" applyProtection="0"/>
    <xf numFmtId="0" fontId="11" fillId="28" borderId="31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30" applyNumberFormat="0" applyAlignment="0" applyProtection="0"/>
    <xf numFmtId="0" fontId="18" fillId="0" borderId="35" applyNumberFormat="0" applyFill="0" applyAlignment="0" applyProtection="0"/>
    <xf numFmtId="0" fontId="19" fillId="31" borderId="0" applyNumberFormat="0" applyBorder="0" applyAlignment="0" applyProtection="0"/>
    <xf numFmtId="0" fontId="7" fillId="32" borderId="36" applyNumberFormat="0" applyFont="0" applyAlignment="0" applyProtection="0"/>
    <xf numFmtId="0" fontId="20" fillId="27" borderId="37" applyNumberFormat="0" applyAlignment="0" applyProtection="0"/>
    <xf numFmtId="0" fontId="21" fillId="0" borderId="0" applyNumberFormat="0" applyFill="0" applyBorder="0" applyAlignment="0" applyProtection="0"/>
    <xf numFmtId="0" fontId="22" fillId="0" borderId="38" applyNumberFormat="0" applyFill="0" applyAlignment="0" applyProtection="0"/>
    <xf numFmtId="0" fontId="23" fillId="0" borderId="0" applyNumberFormat="0" applyFill="0" applyBorder="0" applyAlignment="0" applyProtection="0"/>
  </cellStyleXfs>
  <cellXfs count="186">
    <xf numFmtId="0" fontId="0" fillId="0" borderId="0" xfId="0"/>
    <xf numFmtId="0" fontId="22" fillId="0" borderId="0" xfId="0" applyFont="1"/>
    <xf numFmtId="0" fontId="0" fillId="0" borderId="0" xfId="0" applyFont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0" fillId="0" borderId="1" xfId="0" applyBorder="1"/>
    <xf numFmtId="0" fontId="22" fillId="0" borderId="1" xfId="0" applyFont="1" applyBorder="1"/>
    <xf numFmtId="0" fontId="24" fillId="0" borderId="1" xfId="0" applyFont="1" applyBorder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169" fontId="0" fillId="0" borderId="0" xfId="0" applyNumberFormat="1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8" fillId="0" borderId="1" xfId="0" applyFont="1" applyBorder="1" applyAlignment="1"/>
    <xf numFmtId="0" fontId="29" fillId="0" borderId="1" xfId="0" applyFont="1" applyBorder="1"/>
    <xf numFmtId="0" fontId="1" fillId="0" borderId="1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9" fontId="0" fillId="0" borderId="1" xfId="0" applyNumberFormat="1" applyFont="1" applyBorder="1"/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169" fontId="0" fillId="0" borderId="3" xfId="0" applyNumberFormat="1" applyFont="1" applyBorder="1"/>
    <xf numFmtId="0" fontId="0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69" fontId="0" fillId="0" borderId="5" xfId="0" applyNumberFormat="1" applyFont="1" applyBorder="1"/>
    <xf numFmtId="169" fontId="0" fillId="0" borderId="6" xfId="0" applyNumberFormat="1" applyFont="1" applyBorder="1"/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9" fontId="0" fillId="0" borderId="3" xfId="0" applyNumberFormat="1" applyBorder="1" applyAlignment="1">
      <alignment horizontal="right"/>
    </xf>
    <xf numFmtId="169" fontId="0" fillId="0" borderId="1" xfId="0" applyNumberFormat="1" applyBorder="1" applyAlignment="1">
      <alignment horizontal="right"/>
    </xf>
    <xf numFmtId="0" fontId="22" fillId="0" borderId="2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/>
    <xf numFmtId="0" fontId="30" fillId="0" borderId="1" xfId="0" applyFont="1" applyBorder="1"/>
    <xf numFmtId="0" fontId="22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169" fontId="24" fillId="0" borderId="1" xfId="0" applyNumberFormat="1" applyFont="1" applyBorder="1"/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9" fontId="22" fillId="0" borderId="1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0" fillId="0" borderId="12" xfId="0" applyBorder="1"/>
    <xf numFmtId="0" fontId="24" fillId="0" borderId="12" xfId="0" applyFont="1" applyBorder="1"/>
    <xf numFmtId="169" fontId="0" fillId="0" borderId="12" xfId="0" applyNumberFormat="1" applyFont="1" applyBorder="1"/>
    <xf numFmtId="169" fontId="0" fillId="0" borderId="12" xfId="0" applyNumberFormat="1" applyBorder="1" applyAlignment="1">
      <alignment horizontal="right"/>
    </xf>
    <xf numFmtId="169" fontId="0" fillId="0" borderId="13" xfId="0" applyNumberFormat="1" applyFont="1" applyBorder="1"/>
    <xf numFmtId="169" fontId="0" fillId="0" borderId="1" xfId="0" applyNumberFormat="1" applyBorder="1" applyAlignment="1">
      <alignment horizontal="center"/>
    </xf>
    <xf numFmtId="169" fontId="0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21" fontId="0" fillId="0" borderId="1" xfId="0" applyNumberFormat="1" applyBorder="1"/>
    <xf numFmtId="21" fontId="0" fillId="0" borderId="1" xfId="0" applyNumberFormat="1" applyBorder="1" applyAlignment="1">
      <alignment horizontal="right"/>
    </xf>
    <xf numFmtId="21" fontId="0" fillId="0" borderId="1" xfId="0" applyNumberFormat="1" applyFont="1" applyBorder="1"/>
    <xf numFmtId="170" fontId="0" fillId="0" borderId="1" xfId="0" applyNumberFormat="1" applyFont="1" applyBorder="1"/>
    <xf numFmtId="0" fontId="0" fillId="0" borderId="1" xfId="0" applyFont="1" applyFill="1" applyBorder="1"/>
    <xf numFmtId="21" fontId="0" fillId="0" borderId="1" xfId="0" applyNumberFormat="1" applyFont="1" applyBorder="1" applyAlignment="1">
      <alignment horizontal="center"/>
    </xf>
    <xf numFmtId="21" fontId="24" fillId="0" borderId="1" xfId="0" applyNumberFormat="1" applyFont="1" applyBorder="1"/>
    <xf numFmtId="21" fontId="24" fillId="0" borderId="1" xfId="0" applyNumberFormat="1" applyFont="1" applyBorder="1" applyAlignment="1">
      <alignment horizontal="center"/>
    </xf>
    <xf numFmtId="0" fontId="23" fillId="0" borderId="0" xfId="0" applyFont="1"/>
    <xf numFmtId="0" fontId="22" fillId="0" borderId="1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9" fontId="0" fillId="0" borderId="3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169" fontId="24" fillId="0" borderId="1" xfId="0" applyNumberFormat="1" applyFont="1" applyBorder="1" applyAlignment="1">
      <alignment horizontal="center"/>
    </xf>
    <xf numFmtId="18" fontId="0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169" fontId="0" fillId="0" borderId="6" xfId="0" applyNumberFormat="1" applyFont="1" applyBorder="1" applyAlignment="1">
      <alignment horizontal="center"/>
    </xf>
    <xf numFmtId="21" fontId="0" fillId="0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27" fillId="0" borderId="0" xfId="0" applyNumberFormat="1" applyFont="1"/>
    <xf numFmtId="0" fontId="2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NumberFormat="1" applyFont="1"/>
    <xf numFmtId="0" fontId="35" fillId="0" borderId="0" xfId="0" applyFont="1"/>
    <xf numFmtId="0" fontId="0" fillId="0" borderId="0" xfId="0" applyNumberFormat="1"/>
    <xf numFmtId="21" fontId="24" fillId="0" borderId="0" xfId="0" applyNumberFormat="1" applyFont="1"/>
    <xf numFmtId="21" fontId="35" fillId="0" borderId="0" xfId="0" applyNumberFormat="1" applyFont="1"/>
    <xf numFmtId="0" fontId="24" fillId="0" borderId="0" xfId="0" applyNumberFormat="1" applyFont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/>
    </xf>
    <xf numFmtId="0" fontId="36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21" fontId="0" fillId="0" borderId="0" xfId="0" applyNumberFormat="1"/>
    <xf numFmtId="21" fontId="38" fillId="0" borderId="0" xfId="0" applyNumberFormat="1" applyFont="1" applyAlignment="1">
      <alignment horizontal="center"/>
    </xf>
    <xf numFmtId="21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29" fillId="0" borderId="0" xfId="0" applyFont="1" applyAlignment="1">
      <alignment horizontal="center"/>
    </xf>
    <xf numFmtId="21" fontId="24" fillId="0" borderId="0" xfId="0" applyNumberFormat="1" applyFont="1" applyAlignment="1">
      <alignment horizontal="right"/>
    </xf>
    <xf numFmtId="0" fontId="39" fillId="0" borderId="0" xfId="0" applyFont="1"/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" xfId="0" applyFont="1" applyBorder="1" applyAlignment="1"/>
    <xf numFmtId="0" fontId="0" fillId="0" borderId="19" xfId="0" applyBorder="1" applyAlignment="1"/>
    <xf numFmtId="0" fontId="0" fillId="0" borderId="12" xfId="0" applyBorder="1" applyAlignment="1"/>
    <xf numFmtId="0" fontId="22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3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7" fillId="0" borderId="2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2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0"/>
  <sheetViews>
    <sheetView tabSelected="1" zoomScaleNormal="100" workbookViewId="0">
      <pane ySplit="4" topLeftCell="A6" activePane="bottomLeft" state="frozen"/>
      <selection activeCell="C1" sqref="C1"/>
      <selection pane="bottomLeft"/>
    </sheetView>
  </sheetViews>
  <sheetFormatPr defaultRowHeight="14.4"/>
  <cols>
    <col min="1" max="1" width="13.41796875" customWidth="1"/>
    <col min="2" max="2" width="15" customWidth="1"/>
    <col min="3" max="3" width="12.26171875" customWidth="1"/>
    <col min="4" max="4" width="19.15625" customWidth="1"/>
    <col min="5" max="5" width="10.15625" style="7" customWidth="1"/>
    <col min="6" max="7" width="6.578125" style="5" customWidth="1"/>
    <col min="8" max="8" width="7.15625" style="5" customWidth="1"/>
    <col min="9" max="9" width="7" style="5" customWidth="1"/>
    <col min="10" max="10" width="9.83984375" style="5" customWidth="1"/>
    <col min="11" max="11" width="11.68359375" customWidth="1"/>
    <col min="12" max="12" width="12" customWidth="1"/>
    <col min="13" max="13" width="12.83984375" customWidth="1"/>
    <col min="14" max="14" width="12" customWidth="1"/>
    <col min="15" max="16" width="8.83984375" style="5" customWidth="1"/>
    <col min="17" max="17" width="11.68359375" customWidth="1"/>
    <col min="18" max="18" width="12" customWidth="1"/>
    <col min="19" max="19" width="12.83984375" customWidth="1"/>
    <col min="20" max="20" width="12" customWidth="1"/>
    <col min="21" max="22" width="8.83984375" style="5" customWidth="1"/>
    <col min="23" max="23" width="11.68359375" customWidth="1"/>
    <col min="24" max="24" width="12" customWidth="1"/>
    <col min="25" max="25" width="12.83984375" customWidth="1"/>
    <col min="26" max="26" width="12" customWidth="1"/>
    <col min="27" max="28" width="8.83984375" style="5" customWidth="1"/>
    <col min="29" max="29" width="11.68359375" customWidth="1"/>
    <col min="30" max="30" width="12" customWidth="1"/>
    <col min="31" max="31" width="12.83984375" customWidth="1"/>
    <col min="32" max="32" width="12" customWidth="1"/>
    <col min="33" max="34" width="8.83984375" style="5" customWidth="1"/>
    <col min="35" max="40" width="8.83984375" customWidth="1"/>
    <col min="41" max="41" width="9.41796875" style="20" customWidth="1"/>
    <col min="42" max="42" width="8.83984375" style="20" customWidth="1"/>
  </cols>
  <sheetData>
    <row r="1" spans="1:42" s="24" customFormat="1" ht="18.600000000000001" thickBot="1">
      <c r="A1" s="24" t="s">
        <v>169</v>
      </c>
      <c r="E1" s="25"/>
      <c r="F1" s="26"/>
      <c r="G1" s="26"/>
      <c r="H1" s="22"/>
      <c r="I1" s="22"/>
      <c r="J1" s="26"/>
      <c r="O1" s="26"/>
      <c r="P1" s="26"/>
      <c r="U1" s="26"/>
      <c r="V1" s="26"/>
      <c r="AA1" s="26"/>
      <c r="AB1" s="26"/>
      <c r="AG1" s="26"/>
      <c r="AH1" s="26"/>
      <c r="AO1" s="71"/>
      <c r="AP1" s="71"/>
    </row>
    <row r="2" spans="1:42" ht="14.7" thickBot="1">
      <c r="K2" s="161" t="s">
        <v>172</v>
      </c>
      <c r="L2" s="162"/>
      <c r="M2" s="162"/>
      <c r="N2" s="162"/>
      <c r="O2" s="162"/>
      <c r="P2" s="163"/>
      <c r="Q2" s="161" t="s">
        <v>173</v>
      </c>
      <c r="R2" s="162"/>
      <c r="S2" s="162"/>
      <c r="T2" s="162"/>
      <c r="U2" s="162"/>
      <c r="V2" s="164"/>
      <c r="W2" s="165" t="s">
        <v>175</v>
      </c>
      <c r="X2" s="162"/>
      <c r="Y2" s="162"/>
      <c r="Z2" s="162"/>
      <c r="AA2" s="162"/>
      <c r="AB2" s="164"/>
      <c r="AC2" s="165" t="s">
        <v>179</v>
      </c>
      <c r="AD2" s="162"/>
      <c r="AE2" s="162"/>
      <c r="AF2" s="162"/>
      <c r="AG2" s="162"/>
      <c r="AH2" s="164"/>
      <c r="AI2" s="161" t="s">
        <v>184</v>
      </c>
      <c r="AJ2" s="162"/>
      <c r="AK2" s="162"/>
      <c r="AL2" s="162"/>
      <c r="AM2" s="162"/>
      <c r="AN2" s="164"/>
    </row>
    <row r="3" spans="1:42" s="1" customFormat="1" ht="28.8">
      <c r="A3" s="10" t="s">
        <v>0</v>
      </c>
      <c r="B3" s="10" t="s">
        <v>1</v>
      </c>
      <c r="C3" s="10" t="s">
        <v>8</v>
      </c>
      <c r="D3" s="10" t="s">
        <v>110</v>
      </c>
      <c r="E3" s="23" t="s">
        <v>76</v>
      </c>
      <c r="F3" s="14" t="s">
        <v>75</v>
      </c>
      <c r="G3" s="14" t="s">
        <v>168</v>
      </c>
      <c r="H3" s="14" t="s">
        <v>73</v>
      </c>
      <c r="I3" s="14" t="s">
        <v>74</v>
      </c>
      <c r="J3" s="37" t="s">
        <v>101</v>
      </c>
      <c r="K3" s="42" t="s">
        <v>103</v>
      </c>
      <c r="L3" s="15" t="s">
        <v>104</v>
      </c>
      <c r="M3" s="15" t="s">
        <v>105</v>
      </c>
      <c r="N3" s="15" t="s">
        <v>170</v>
      </c>
      <c r="O3" s="14" t="s">
        <v>106</v>
      </c>
      <c r="P3" s="37" t="s">
        <v>171</v>
      </c>
      <c r="Q3" s="42" t="s">
        <v>103</v>
      </c>
      <c r="R3" s="15" t="s">
        <v>104</v>
      </c>
      <c r="S3" s="15" t="s">
        <v>105</v>
      </c>
      <c r="T3" s="15" t="s">
        <v>170</v>
      </c>
      <c r="U3" s="14" t="s">
        <v>106</v>
      </c>
      <c r="V3" s="43" t="s">
        <v>171</v>
      </c>
      <c r="W3" s="82" t="s">
        <v>103</v>
      </c>
      <c r="X3" s="15" t="s">
        <v>104</v>
      </c>
      <c r="Y3" s="15" t="s">
        <v>105</v>
      </c>
      <c r="Z3" s="15" t="s">
        <v>170</v>
      </c>
      <c r="AA3" s="14" t="s">
        <v>106</v>
      </c>
      <c r="AB3" s="43" t="s">
        <v>171</v>
      </c>
      <c r="AC3" s="82" t="s">
        <v>103</v>
      </c>
      <c r="AD3" s="15" t="s">
        <v>104</v>
      </c>
      <c r="AE3" s="15" t="s">
        <v>105</v>
      </c>
      <c r="AF3" s="15" t="s">
        <v>170</v>
      </c>
      <c r="AG3" s="14" t="s">
        <v>106</v>
      </c>
      <c r="AH3" s="43" t="s">
        <v>171</v>
      </c>
      <c r="AI3" s="42" t="s">
        <v>103</v>
      </c>
      <c r="AJ3" s="15" t="s">
        <v>104</v>
      </c>
      <c r="AK3" s="15" t="s">
        <v>105</v>
      </c>
      <c r="AL3" s="15" t="s">
        <v>170</v>
      </c>
      <c r="AM3" s="14" t="s">
        <v>106</v>
      </c>
      <c r="AN3" s="43" t="s">
        <v>171</v>
      </c>
      <c r="AO3" s="69" t="s">
        <v>185</v>
      </c>
      <c r="AP3" s="70" t="s">
        <v>186</v>
      </c>
    </row>
    <row r="4" spans="1:42">
      <c r="A4" s="10" t="s">
        <v>38</v>
      </c>
      <c r="B4" s="9"/>
      <c r="C4" s="9"/>
      <c r="D4" s="9"/>
      <c r="E4" s="29"/>
      <c r="F4" s="16"/>
      <c r="G4" s="16"/>
      <c r="H4" s="16"/>
      <c r="I4" s="16"/>
      <c r="J4" s="38"/>
      <c r="K4" s="44"/>
      <c r="L4" s="9"/>
      <c r="M4" s="9"/>
      <c r="N4" s="9"/>
      <c r="O4" s="16"/>
      <c r="P4" s="38"/>
      <c r="Q4" s="44"/>
      <c r="R4" s="9"/>
      <c r="S4" s="9"/>
      <c r="T4" s="9"/>
      <c r="U4" s="16"/>
      <c r="V4" s="45"/>
      <c r="W4" s="83"/>
      <c r="X4" s="9"/>
      <c r="Y4" s="9"/>
      <c r="Z4" s="9"/>
      <c r="AA4" s="16"/>
      <c r="AB4" s="45"/>
      <c r="AC4" s="83"/>
      <c r="AD4" s="9"/>
      <c r="AE4" s="9"/>
      <c r="AF4" s="9"/>
      <c r="AG4" s="16"/>
      <c r="AH4" s="45"/>
      <c r="AI4" s="44"/>
      <c r="AJ4" s="9"/>
      <c r="AK4" s="9"/>
      <c r="AL4" s="9"/>
      <c r="AM4" s="16"/>
      <c r="AN4" s="45"/>
      <c r="AO4" s="72"/>
      <c r="AP4" s="73"/>
    </row>
    <row r="5" spans="1:42" s="3" customFormat="1" hidden="1">
      <c r="A5" s="11" t="s">
        <v>92</v>
      </c>
      <c r="B5" s="11" t="s">
        <v>86</v>
      </c>
      <c r="C5" s="11" t="s">
        <v>87</v>
      </c>
      <c r="D5" s="11" t="s">
        <v>160</v>
      </c>
      <c r="E5" s="11" t="s">
        <v>100</v>
      </c>
      <c r="F5" s="27">
        <v>0.91700000000000004</v>
      </c>
      <c r="G5" s="27"/>
      <c r="H5" s="18">
        <v>0.95599999999999996</v>
      </c>
      <c r="I5" s="11"/>
      <c r="J5" s="39" t="s">
        <v>57</v>
      </c>
      <c r="K5" s="46"/>
      <c r="L5" s="11"/>
      <c r="M5" s="11"/>
      <c r="N5" s="11"/>
      <c r="O5" s="18"/>
      <c r="P5" s="39"/>
      <c r="Q5" s="46"/>
      <c r="R5" s="11"/>
      <c r="S5" s="11"/>
      <c r="T5" s="11"/>
      <c r="U5" s="18"/>
      <c r="V5" s="47"/>
      <c r="W5" s="84"/>
      <c r="X5" s="11"/>
      <c r="Y5" s="11"/>
      <c r="Z5" s="11"/>
      <c r="AA5" s="18"/>
      <c r="AB5" s="47"/>
      <c r="AC5" s="84"/>
      <c r="AD5" s="11"/>
      <c r="AE5" s="11"/>
      <c r="AF5" s="11"/>
      <c r="AG5" s="18"/>
      <c r="AH5" s="47"/>
      <c r="AI5" s="46"/>
      <c r="AJ5" s="11"/>
      <c r="AK5" s="11"/>
      <c r="AL5" s="11"/>
      <c r="AM5" s="18"/>
      <c r="AN5" s="47"/>
      <c r="AO5" s="72"/>
      <c r="AP5" s="73"/>
    </row>
    <row r="6" spans="1:42" s="1" customFormat="1">
      <c r="A6" s="11" t="s">
        <v>21</v>
      </c>
      <c r="B6" s="13" t="s">
        <v>36</v>
      </c>
      <c r="C6" s="13" t="s">
        <v>32</v>
      </c>
      <c r="D6" s="13" t="s">
        <v>125</v>
      </c>
      <c r="E6" s="30" t="s">
        <v>83</v>
      </c>
      <c r="F6" s="18">
        <v>0.86699999999999999</v>
      </c>
      <c r="G6" s="31">
        <v>0.85599999999999998</v>
      </c>
      <c r="H6" s="31">
        <v>0.88900000000000001</v>
      </c>
      <c r="I6" s="31"/>
      <c r="J6" s="40" t="s">
        <v>57</v>
      </c>
      <c r="K6" s="48">
        <f>TIME(10,0,0)</f>
        <v>0.41666666666666669</v>
      </c>
      <c r="L6" s="41">
        <f>TIME(12,31,50)</f>
        <v>0.52210648148148142</v>
      </c>
      <c r="M6" s="41">
        <f>L6-K6</f>
        <v>0.10543981481481474</v>
      </c>
      <c r="N6" s="41">
        <f>M6*F6</f>
        <v>9.141631944444438E-2</v>
      </c>
      <c r="O6" s="14">
        <v>2</v>
      </c>
      <c r="P6" s="37">
        <v>2</v>
      </c>
      <c r="Q6" s="48">
        <f>TIME(10,0,0)</f>
        <v>0.41666666666666669</v>
      </c>
      <c r="R6" s="41">
        <f>TIME(12,23,30)</f>
        <v>0.51631944444444444</v>
      </c>
      <c r="S6" s="41">
        <f t="shared" ref="S6:S16" si="0">R6-Q6</f>
        <v>9.9652777777777757E-2</v>
      </c>
      <c r="T6" s="41">
        <f>S6*F6</f>
        <v>8.6398958333333317E-2</v>
      </c>
      <c r="U6" s="14">
        <v>3</v>
      </c>
      <c r="V6" s="43">
        <v>3</v>
      </c>
      <c r="W6" s="85">
        <f t="shared" ref="W6:W16" si="1">TIME(10,0,0)</f>
        <v>0.41666666666666669</v>
      </c>
      <c r="X6" s="41">
        <f>TIME(11,46,35)</f>
        <v>0.49068287037037034</v>
      </c>
      <c r="Y6" s="41">
        <f t="shared" ref="Y6:Y16" si="2">X6-W6</f>
        <v>7.4016203703703654E-2</v>
      </c>
      <c r="Z6" s="41">
        <f>Y6*F6</f>
        <v>6.4172048611111074E-2</v>
      </c>
      <c r="AA6" s="14">
        <v>3</v>
      </c>
      <c r="AB6" s="43">
        <v>3</v>
      </c>
      <c r="AC6" s="85">
        <f t="shared" ref="AC6:AC16" si="3">TIME(10,0,0)</f>
        <v>0.41666666666666669</v>
      </c>
      <c r="AD6" s="41">
        <f>TIME(11,48,12)</f>
        <v>0.49180555555555555</v>
      </c>
      <c r="AE6" s="41">
        <f t="shared" ref="AE6:AE16" si="4">AD6-AC6</f>
        <v>7.5138888888888866E-2</v>
      </c>
      <c r="AF6" s="41">
        <f>AE6*F6</f>
        <v>6.514541666666665E-2</v>
      </c>
      <c r="AG6" s="14">
        <v>5</v>
      </c>
      <c r="AH6" s="75">
        <v>0</v>
      </c>
      <c r="AI6" s="48">
        <f t="shared" ref="AI6:AI16" si="5">TIME(10,0,0)</f>
        <v>0.41666666666666669</v>
      </c>
      <c r="AJ6" s="41">
        <f>TIME(10,54,28)</f>
        <v>0.45449074074074075</v>
      </c>
      <c r="AK6" s="41">
        <f t="shared" ref="AK6:AK16" si="6">AJ6-AI6</f>
        <v>3.7824074074074066E-2</v>
      </c>
      <c r="AL6" s="41">
        <f>AK6*F6</f>
        <v>3.2793472222222217E-2</v>
      </c>
      <c r="AM6" s="14">
        <v>3</v>
      </c>
      <c r="AN6" s="14">
        <v>3</v>
      </c>
      <c r="AO6" s="74">
        <f>SUM(P6+V6+AB6+AH6+AN6)</f>
        <v>11</v>
      </c>
      <c r="AP6" s="75" t="s">
        <v>188</v>
      </c>
    </row>
    <row r="7" spans="1:42" s="2" customFormat="1" hidden="1">
      <c r="A7" s="11" t="s">
        <v>70</v>
      </c>
      <c r="B7" s="13" t="s">
        <v>71</v>
      </c>
      <c r="C7" s="13" t="s">
        <v>144</v>
      </c>
      <c r="D7" s="13" t="s">
        <v>72</v>
      </c>
      <c r="E7" s="30" t="s">
        <v>145</v>
      </c>
      <c r="F7" s="18">
        <v>1.07</v>
      </c>
      <c r="G7" s="31">
        <v>1.054</v>
      </c>
      <c r="H7" s="31">
        <v>1.115</v>
      </c>
      <c r="I7" s="31">
        <v>1.0780000000000001</v>
      </c>
      <c r="J7" s="40" t="s">
        <v>57</v>
      </c>
      <c r="K7" s="48">
        <f t="shared" ref="K7:K36" si="7">TIME(10,0,0)</f>
        <v>0.41666666666666669</v>
      </c>
      <c r="L7" s="41">
        <f t="shared" ref="L7:L34" si="8">TIME(12,31,50)</f>
        <v>0.52210648148148142</v>
      </c>
      <c r="M7" s="41">
        <f t="shared" ref="M7:M39" si="9">L7-K7</f>
        <v>0.10543981481481474</v>
      </c>
      <c r="N7" s="41">
        <f t="shared" ref="N7:N25" si="10">M7*F7</f>
        <v>0.11282060185185178</v>
      </c>
      <c r="O7" s="32"/>
      <c r="P7" s="40"/>
      <c r="Q7" s="48">
        <f t="shared" ref="Q7:Q36" si="11">TIME(10,0,0)</f>
        <v>0.41666666666666669</v>
      </c>
      <c r="R7" s="41">
        <f t="shared" ref="R7:R31" si="12">TIME(12,0,0)</f>
        <v>0.5</v>
      </c>
      <c r="S7" s="41">
        <f t="shared" si="0"/>
        <v>8.3333333333333315E-2</v>
      </c>
      <c r="T7" s="41">
        <f t="shared" ref="T7:T34" si="13">S7*F7</f>
        <v>8.9166666666666658E-2</v>
      </c>
      <c r="U7" s="32"/>
      <c r="V7" s="49"/>
      <c r="W7" s="85">
        <f t="shared" si="1"/>
        <v>0.41666666666666669</v>
      </c>
      <c r="X7" s="41">
        <f t="shared" ref="X7:X34" si="14">TIME(12,0,0)</f>
        <v>0.5</v>
      </c>
      <c r="Y7" s="41">
        <f t="shared" si="2"/>
        <v>8.3333333333333315E-2</v>
      </c>
      <c r="Z7" s="41">
        <f t="shared" ref="Z7:Z34" si="15">Y7*F7</f>
        <v>8.9166666666666658E-2</v>
      </c>
      <c r="AA7" s="32"/>
      <c r="AB7" s="49"/>
      <c r="AC7" s="85">
        <f t="shared" si="3"/>
        <v>0.41666666666666669</v>
      </c>
      <c r="AD7" s="41">
        <f t="shared" ref="AD7:AD34" si="16">TIME(14,0,0)</f>
        <v>0.58333333333333337</v>
      </c>
      <c r="AE7" s="41">
        <f t="shared" si="4"/>
        <v>0.16666666666666669</v>
      </c>
      <c r="AF7" s="41">
        <f t="shared" ref="AF7:AF16" si="17">AE7*F7</f>
        <v>0.17833333333333337</v>
      </c>
      <c r="AG7" s="32"/>
      <c r="AH7" s="49"/>
      <c r="AI7" s="48">
        <f t="shared" si="5"/>
        <v>0.41666666666666669</v>
      </c>
      <c r="AJ7" s="41">
        <f t="shared" ref="AJ7:AJ25" si="18">TIME(14,0,0)</f>
        <v>0.58333333333333337</v>
      </c>
      <c r="AK7" s="41">
        <f t="shared" si="6"/>
        <v>0.16666666666666669</v>
      </c>
      <c r="AL7" s="41">
        <f t="shared" ref="AL7:AL16" si="19">AK7*F7</f>
        <v>0.17833333333333337</v>
      </c>
      <c r="AM7" s="32"/>
      <c r="AN7" s="32"/>
      <c r="AO7" s="74">
        <f t="shared" ref="AO7:AO36" si="20">SUM(P7+V7+AB7+AH7+AN7)</f>
        <v>0</v>
      </c>
      <c r="AP7" s="73"/>
    </row>
    <row r="8" spans="1:42" s="2" customFormat="1" hidden="1">
      <c r="A8" s="11" t="s">
        <v>67</v>
      </c>
      <c r="B8" s="13" t="s">
        <v>107</v>
      </c>
      <c r="C8" s="33" t="s">
        <v>108</v>
      </c>
      <c r="D8" s="13" t="s">
        <v>126</v>
      </c>
      <c r="E8" s="18">
        <v>545</v>
      </c>
      <c r="F8" s="27">
        <v>0.85899999999999999</v>
      </c>
      <c r="G8" s="31"/>
      <c r="H8" s="31">
        <v>0.85899999999999999</v>
      </c>
      <c r="I8" s="31"/>
      <c r="J8" s="40" t="s">
        <v>102</v>
      </c>
      <c r="K8" s="48">
        <f t="shared" si="7"/>
        <v>0.41666666666666669</v>
      </c>
      <c r="L8" s="41">
        <f t="shared" si="8"/>
        <v>0.52210648148148142</v>
      </c>
      <c r="M8" s="41">
        <f t="shared" si="9"/>
        <v>0.10543981481481474</v>
      </c>
      <c r="N8" s="41">
        <f t="shared" si="10"/>
        <v>9.0572800925925859E-2</v>
      </c>
      <c r="O8" s="32"/>
      <c r="P8" s="40"/>
      <c r="Q8" s="48">
        <f t="shared" si="11"/>
        <v>0.41666666666666669</v>
      </c>
      <c r="R8" s="41">
        <f t="shared" si="12"/>
        <v>0.5</v>
      </c>
      <c r="S8" s="41">
        <f t="shared" si="0"/>
        <v>8.3333333333333315E-2</v>
      </c>
      <c r="T8" s="41">
        <f t="shared" si="13"/>
        <v>7.1583333333333318E-2</v>
      </c>
      <c r="U8" s="32"/>
      <c r="V8" s="49"/>
      <c r="W8" s="85">
        <f t="shared" si="1"/>
        <v>0.41666666666666669</v>
      </c>
      <c r="X8" s="41">
        <f t="shared" si="14"/>
        <v>0.5</v>
      </c>
      <c r="Y8" s="41">
        <f t="shared" si="2"/>
        <v>8.3333333333333315E-2</v>
      </c>
      <c r="Z8" s="41">
        <f t="shared" si="15"/>
        <v>7.1583333333333318E-2</v>
      </c>
      <c r="AA8" s="32"/>
      <c r="AB8" s="49"/>
      <c r="AC8" s="85">
        <f t="shared" si="3"/>
        <v>0.41666666666666669</v>
      </c>
      <c r="AD8" s="41">
        <f t="shared" si="16"/>
        <v>0.58333333333333337</v>
      </c>
      <c r="AE8" s="41">
        <f t="shared" si="4"/>
        <v>0.16666666666666669</v>
      </c>
      <c r="AF8" s="41">
        <f t="shared" si="17"/>
        <v>0.14316666666666669</v>
      </c>
      <c r="AG8" s="32"/>
      <c r="AH8" s="49"/>
      <c r="AI8" s="48">
        <f t="shared" si="5"/>
        <v>0.41666666666666669</v>
      </c>
      <c r="AJ8" s="41">
        <f t="shared" si="18"/>
        <v>0.58333333333333337</v>
      </c>
      <c r="AK8" s="41">
        <f t="shared" si="6"/>
        <v>0.16666666666666669</v>
      </c>
      <c r="AL8" s="41">
        <f t="shared" si="19"/>
        <v>0.14316666666666669</v>
      </c>
      <c r="AM8" s="32"/>
      <c r="AN8" s="32"/>
      <c r="AO8" s="74">
        <f t="shared" si="20"/>
        <v>0</v>
      </c>
      <c r="AP8" s="73"/>
    </row>
    <row r="9" spans="1:42" s="1" customFormat="1">
      <c r="A9" s="11" t="s">
        <v>4</v>
      </c>
      <c r="B9" s="13" t="s">
        <v>5</v>
      </c>
      <c r="C9" s="13" t="s">
        <v>11</v>
      </c>
      <c r="D9" s="13" t="s">
        <v>128</v>
      </c>
      <c r="E9" s="32">
        <v>185</v>
      </c>
      <c r="F9" s="18">
        <v>0.93600000000000005</v>
      </c>
      <c r="G9" s="31">
        <v>0.92400000000000004</v>
      </c>
      <c r="H9" s="31">
        <v>0.94099999999999995</v>
      </c>
      <c r="I9" s="31"/>
      <c r="J9" s="40" t="s">
        <v>80</v>
      </c>
      <c r="K9" s="48">
        <f t="shared" si="7"/>
        <v>0.41666666666666669</v>
      </c>
      <c r="L9" s="41">
        <f>TIME(13,1,20)</f>
        <v>0.54259259259259263</v>
      </c>
      <c r="M9" s="41">
        <f t="shared" si="9"/>
        <v>0.12592592592592594</v>
      </c>
      <c r="N9" s="41">
        <f t="shared" si="10"/>
        <v>0.11786666666666669</v>
      </c>
      <c r="O9" s="14">
        <v>7</v>
      </c>
      <c r="P9" s="37">
        <v>7</v>
      </c>
      <c r="Q9" s="48">
        <f t="shared" si="11"/>
        <v>0.41666666666666669</v>
      </c>
      <c r="R9" s="41">
        <f>TIME(12,35,28)</f>
        <v>0.52462962962962967</v>
      </c>
      <c r="S9" s="41">
        <f t="shared" si="0"/>
        <v>0.10796296296296298</v>
      </c>
      <c r="T9" s="41">
        <f t="shared" si="13"/>
        <v>0.10105333333333336</v>
      </c>
      <c r="U9" s="14">
        <v>7</v>
      </c>
      <c r="V9" s="43">
        <v>7</v>
      </c>
      <c r="W9" s="85">
        <f t="shared" si="1"/>
        <v>0.41666666666666669</v>
      </c>
      <c r="X9" s="41">
        <f>TIME(11,56,3)</f>
        <v>0.4972569444444444</v>
      </c>
      <c r="Y9" s="41">
        <f t="shared" si="2"/>
        <v>8.0590277777777719E-2</v>
      </c>
      <c r="Z9" s="41">
        <f t="shared" si="15"/>
        <v>7.5432499999999944E-2</v>
      </c>
      <c r="AA9" s="14">
        <v>7</v>
      </c>
      <c r="AB9" s="43">
        <v>7</v>
      </c>
      <c r="AC9" s="85">
        <f t="shared" si="3"/>
        <v>0.41666666666666669</v>
      </c>
      <c r="AD9" s="41">
        <f>TIME(12,2,58)</f>
        <v>0.50206018518518525</v>
      </c>
      <c r="AE9" s="41">
        <f t="shared" si="4"/>
        <v>8.5393518518518563E-2</v>
      </c>
      <c r="AF9" s="41">
        <f t="shared" si="17"/>
        <v>7.9928333333333379E-2</v>
      </c>
      <c r="AG9" s="14">
        <v>7</v>
      </c>
      <c r="AH9" s="50">
        <v>7</v>
      </c>
      <c r="AI9" s="48">
        <f t="shared" si="5"/>
        <v>0.41666666666666669</v>
      </c>
      <c r="AJ9" s="41">
        <f>TIME(10,54,38)</f>
        <v>0.45460648148148147</v>
      </c>
      <c r="AK9" s="41">
        <f t="shared" si="6"/>
        <v>3.7939814814814787E-2</v>
      </c>
      <c r="AL9" s="41">
        <f t="shared" si="19"/>
        <v>3.5511666666666643E-2</v>
      </c>
      <c r="AM9" s="14">
        <v>7</v>
      </c>
      <c r="AN9" s="90">
        <v>0</v>
      </c>
      <c r="AO9" s="74">
        <f t="shared" si="20"/>
        <v>28</v>
      </c>
      <c r="AP9" s="75">
        <v>7</v>
      </c>
    </row>
    <row r="10" spans="1:42" s="1" customFormat="1">
      <c r="A10" s="11" t="s">
        <v>12</v>
      </c>
      <c r="B10" s="13" t="s">
        <v>13</v>
      </c>
      <c r="C10" s="13" t="s">
        <v>23</v>
      </c>
      <c r="D10" s="13" t="s">
        <v>129</v>
      </c>
      <c r="E10" s="30" t="s">
        <v>79</v>
      </c>
      <c r="F10" s="18">
        <v>0.874</v>
      </c>
      <c r="G10" s="31">
        <v>0.86499999999999999</v>
      </c>
      <c r="H10" s="31">
        <v>0.89600000000000002</v>
      </c>
      <c r="I10" s="31"/>
      <c r="J10" s="40" t="s">
        <v>80</v>
      </c>
      <c r="K10" s="48">
        <f t="shared" si="7"/>
        <v>0.41666666666666669</v>
      </c>
      <c r="L10" s="41">
        <f>TIME(12,31,48)</f>
        <v>0.52208333333333334</v>
      </c>
      <c r="M10" s="41">
        <f t="shared" si="9"/>
        <v>0.10541666666666666</v>
      </c>
      <c r="N10" s="41">
        <f t="shared" si="10"/>
        <v>9.2134166666666656E-2</v>
      </c>
      <c r="O10" s="14">
        <v>3</v>
      </c>
      <c r="P10" s="37">
        <v>3</v>
      </c>
      <c r="Q10" s="48">
        <f t="shared" si="11"/>
        <v>0.41666666666666669</v>
      </c>
      <c r="R10" s="41">
        <f>TIME(12,23,29)</f>
        <v>0.5163078703703704</v>
      </c>
      <c r="S10" s="41">
        <f t="shared" si="0"/>
        <v>9.9641203703703718E-2</v>
      </c>
      <c r="T10" s="41">
        <f t="shared" si="13"/>
        <v>8.7086412037037056E-2</v>
      </c>
      <c r="U10" s="14">
        <v>5</v>
      </c>
      <c r="V10" s="75">
        <v>0</v>
      </c>
      <c r="W10" s="85">
        <f t="shared" si="1"/>
        <v>0.41666666666666669</v>
      </c>
      <c r="X10" s="41">
        <f>TIME(11,47,51)</f>
        <v>0.49156249999999996</v>
      </c>
      <c r="Y10" s="41">
        <f t="shared" si="2"/>
        <v>7.4895833333333273E-2</v>
      </c>
      <c r="Z10" s="41">
        <f t="shared" si="15"/>
        <v>6.5458958333333275E-2</v>
      </c>
      <c r="AA10" s="14">
        <v>4</v>
      </c>
      <c r="AB10" s="43">
        <v>4</v>
      </c>
      <c r="AC10" s="85">
        <f t="shared" si="3"/>
        <v>0.41666666666666669</v>
      </c>
      <c r="AD10" s="41">
        <f>TIME(11,41,43)</f>
        <v>0.48730324074074072</v>
      </c>
      <c r="AE10" s="41">
        <f t="shared" si="4"/>
        <v>7.0636574074074032E-2</v>
      </c>
      <c r="AF10" s="41">
        <f t="shared" si="17"/>
        <v>6.1736365740740706E-2</v>
      </c>
      <c r="AG10" s="14">
        <v>3</v>
      </c>
      <c r="AH10" s="43">
        <v>3</v>
      </c>
      <c r="AI10" s="48">
        <f t="shared" si="5"/>
        <v>0.41666666666666669</v>
      </c>
      <c r="AJ10" s="41">
        <f>TIME(10,53,47)</f>
        <v>0.45401620370370371</v>
      </c>
      <c r="AK10" s="41">
        <f t="shared" si="6"/>
        <v>3.7349537037037028E-2</v>
      </c>
      <c r="AL10" s="41">
        <f t="shared" si="19"/>
        <v>3.2643495370370361E-2</v>
      </c>
      <c r="AM10" s="14">
        <v>1</v>
      </c>
      <c r="AN10" s="14">
        <v>1</v>
      </c>
      <c r="AO10" s="74">
        <f t="shared" si="20"/>
        <v>11</v>
      </c>
      <c r="AP10" s="75" t="s">
        <v>188</v>
      </c>
    </row>
    <row r="11" spans="1:42" s="1" customFormat="1">
      <c r="A11" s="11" t="s">
        <v>152</v>
      </c>
      <c r="B11" s="13" t="s">
        <v>24</v>
      </c>
      <c r="C11" s="13" t="s">
        <v>55</v>
      </c>
      <c r="D11" s="13" t="s">
        <v>130</v>
      </c>
      <c r="E11" s="30" t="s">
        <v>82</v>
      </c>
      <c r="F11" s="18">
        <v>0.95899999999999996</v>
      </c>
      <c r="G11" s="31">
        <v>0.94399999999999995</v>
      </c>
      <c r="H11" s="31">
        <v>0.98</v>
      </c>
      <c r="I11" s="31"/>
      <c r="J11" s="40" t="s">
        <v>57</v>
      </c>
      <c r="K11" s="48">
        <f t="shared" si="7"/>
        <v>0.41666666666666669</v>
      </c>
      <c r="L11" s="41">
        <f>TIME(12,18,20)</f>
        <v>0.51273148148148151</v>
      </c>
      <c r="M11" s="41">
        <f t="shared" si="9"/>
        <v>9.6064814814814825E-2</v>
      </c>
      <c r="N11" s="41">
        <f t="shared" si="10"/>
        <v>9.2126157407407414E-2</v>
      </c>
      <c r="O11" s="14">
        <v>3</v>
      </c>
      <c r="P11" s="37">
        <v>3</v>
      </c>
      <c r="Q11" s="48">
        <f t="shared" si="11"/>
        <v>0.41666666666666669</v>
      </c>
      <c r="R11" s="41">
        <f>TIME(12,9,50)</f>
        <v>0.5068287037037037</v>
      </c>
      <c r="S11" s="41">
        <f t="shared" si="0"/>
        <v>9.0162037037037013E-2</v>
      </c>
      <c r="T11" s="41">
        <f t="shared" si="13"/>
        <v>8.6465393518518494E-2</v>
      </c>
      <c r="U11" s="14">
        <v>4</v>
      </c>
      <c r="V11" s="43">
        <v>4</v>
      </c>
      <c r="W11" s="85">
        <f t="shared" si="1"/>
        <v>0.41666666666666669</v>
      </c>
      <c r="X11" s="41">
        <f>TIME(11,36,8)</f>
        <v>0.48342592592592593</v>
      </c>
      <c r="Y11" s="41">
        <f t="shared" si="2"/>
        <v>6.675925925925924E-2</v>
      </c>
      <c r="Z11" s="41">
        <f t="shared" si="15"/>
        <v>6.4022129629629609E-2</v>
      </c>
      <c r="AA11" s="14">
        <v>2</v>
      </c>
      <c r="AB11" s="43">
        <v>2</v>
      </c>
      <c r="AC11" s="85">
        <f t="shared" si="3"/>
        <v>0.41666666666666669</v>
      </c>
      <c r="AD11" s="41">
        <f>TIME(11,34,33)</f>
        <v>0.4823263888888889</v>
      </c>
      <c r="AE11" s="41">
        <f t="shared" si="4"/>
        <v>6.5659722222222217E-2</v>
      </c>
      <c r="AF11" s="41">
        <f t="shared" si="17"/>
        <v>6.2967673611111108E-2</v>
      </c>
      <c r="AG11" s="14">
        <v>4</v>
      </c>
      <c r="AH11" s="43">
        <v>4</v>
      </c>
      <c r="AI11" s="48">
        <f t="shared" si="5"/>
        <v>0.41666666666666669</v>
      </c>
      <c r="AJ11" s="41">
        <f>TIME(10,49,15)</f>
        <v>0.45086805555555554</v>
      </c>
      <c r="AK11" s="41">
        <f t="shared" si="6"/>
        <v>3.4201388888888851E-2</v>
      </c>
      <c r="AL11" s="41">
        <f t="shared" si="19"/>
        <v>3.2799131944444407E-2</v>
      </c>
      <c r="AM11" s="14">
        <v>4</v>
      </c>
      <c r="AN11" s="90">
        <v>0</v>
      </c>
      <c r="AO11" s="74">
        <f t="shared" si="20"/>
        <v>13</v>
      </c>
      <c r="AP11" s="75">
        <v>4</v>
      </c>
    </row>
    <row r="12" spans="1:42" s="3" customFormat="1" hidden="1">
      <c r="A12" s="11" t="s">
        <v>65</v>
      </c>
      <c r="B12" s="11" t="s">
        <v>66</v>
      </c>
      <c r="C12" s="11" t="s">
        <v>161</v>
      </c>
      <c r="D12" s="11" t="s">
        <v>162</v>
      </c>
      <c r="E12" s="18" t="s">
        <v>164</v>
      </c>
      <c r="F12" s="27">
        <v>0.90400000000000003</v>
      </c>
      <c r="G12" s="31"/>
      <c r="H12" s="34"/>
      <c r="I12" s="34"/>
      <c r="J12" s="39" t="s">
        <v>57</v>
      </c>
      <c r="K12" s="48">
        <f t="shared" si="7"/>
        <v>0.41666666666666669</v>
      </c>
      <c r="L12" s="41">
        <f t="shared" si="8"/>
        <v>0.52210648148148142</v>
      </c>
      <c r="M12" s="41">
        <f t="shared" si="9"/>
        <v>0.10543981481481474</v>
      </c>
      <c r="N12" s="41">
        <f t="shared" si="10"/>
        <v>9.5317592592592523E-2</v>
      </c>
      <c r="O12" s="18"/>
      <c r="P12" s="39"/>
      <c r="Q12" s="48">
        <f t="shared" si="11"/>
        <v>0.41666666666666669</v>
      </c>
      <c r="R12" s="41">
        <f t="shared" si="12"/>
        <v>0.5</v>
      </c>
      <c r="S12" s="41">
        <f t="shared" si="0"/>
        <v>8.3333333333333315E-2</v>
      </c>
      <c r="T12" s="41">
        <f t="shared" si="13"/>
        <v>7.5333333333333322E-2</v>
      </c>
      <c r="U12" s="18"/>
      <c r="V12" s="47"/>
      <c r="W12" s="85">
        <f t="shared" si="1"/>
        <v>0.41666666666666669</v>
      </c>
      <c r="X12" s="41">
        <f t="shared" si="14"/>
        <v>0.5</v>
      </c>
      <c r="Y12" s="41">
        <f t="shared" si="2"/>
        <v>8.3333333333333315E-2</v>
      </c>
      <c r="Z12" s="41">
        <f t="shared" si="15"/>
        <v>7.5333333333333322E-2</v>
      </c>
      <c r="AA12" s="18"/>
      <c r="AB12" s="47"/>
      <c r="AC12" s="85">
        <f t="shared" si="3"/>
        <v>0.41666666666666669</v>
      </c>
      <c r="AD12" s="41">
        <f t="shared" si="16"/>
        <v>0.58333333333333337</v>
      </c>
      <c r="AE12" s="41">
        <f t="shared" si="4"/>
        <v>0.16666666666666669</v>
      </c>
      <c r="AF12" s="41">
        <f t="shared" si="17"/>
        <v>0.1506666666666667</v>
      </c>
      <c r="AG12" s="18"/>
      <c r="AH12" s="47"/>
      <c r="AI12" s="48">
        <f t="shared" si="5"/>
        <v>0.41666666666666669</v>
      </c>
      <c r="AJ12" s="41">
        <f t="shared" si="18"/>
        <v>0.58333333333333337</v>
      </c>
      <c r="AK12" s="41">
        <f t="shared" si="6"/>
        <v>0.16666666666666669</v>
      </c>
      <c r="AL12" s="41">
        <f t="shared" si="19"/>
        <v>0.1506666666666667</v>
      </c>
      <c r="AM12" s="18"/>
      <c r="AN12" s="18"/>
      <c r="AO12" s="74">
        <f t="shared" si="20"/>
        <v>0</v>
      </c>
      <c r="AP12" s="73"/>
    </row>
    <row r="13" spans="1:42" s="2" customFormat="1" hidden="1">
      <c r="A13" s="11" t="s">
        <v>93</v>
      </c>
      <c r="B13" s="13" t="s">
        <v>94</v>
      </c>
      <c r="C13" s="13" t="s">
        <v>96</v>
      </c>
      <c r="D13" s="13" t="s">
        <v>131</v>
      </c>
      <c r="E13" s="35" t="s">
        <v>95</v>
      </c>
      <c r="F13" s="18">
        <v>0.96199999999999997</v>
      </c>
      <c r="G13" s="31">
        <v>0.95299999999999996</v>
      </c>
      <c r="H13" s="31">
        <v>0.98199999999999998</v>
      </c>
      <c r="I13" s="31"/>
      <c r="J13" s="40" t="s">
        <v>57</v>
      </c>
      <c r="K13" s="48">
        <f t="shared" si="7"/>
        <v>0.41666666666666669</v>
      </c>
      <c r="L13" s="41">
        <f t="shared" si="8"/>
        <v>0.52210648148148142</v>
      </c>
      <c r="M13" s="41">
        <f t="shared" si="9"/>
        <v>0.10543981481481474</v>
      </c>
      <c r="N13" s="41">
        <f t="shared" si="10"/>
        <v>0.10143310185185177</v>
      </c>
      <c r="O13" s="32"/>
      <c r="P13" s="40"/>
      <c r="Q13" s="48">
        <f t="shared" si="11"/>
        <v>0.41666666666666669</v>
      </c>
      <c r="R13" s="41">
        <f t="shared" si="12"/>
        <v>0.5</v>
      </c>
      <c r="S13" s="41">
        <f t="shared" si="0"/>
        <v>8.3333333333333315E-2</v>
      </c>
      <c r="T13" s="41">
        <f t="shared" si="13"/>
        <v>8.016666666666665E-2</v>
      </c>
      <c r="U13" s="32"/>
      <c r="V13" s="49"/>
      <c r="W13" s="85">
        <f t="shared" si="1"/>
        <v>0.41666666666666669</v>
      </c>
      <c r="X13" s="41">
        <f t="shared" si="14"/>
        <v>0.5</v>
      </c>
      <c r="Y13" s="41">
        <f t="shared" si="2"/>
        <v>8.3333333333333315E-2</v>
      </c>
      <c r="Z13" s="41">
        <f t="shared" si="15"/>
        <v>8.016666666666665E-2</v>
      </c>
      <c r="AA13" s="32"/>
      <c r="AB13" s="49"/>
      <c r="AC13" s="85">
        <f t="shared" si="3"/>
        <v>0.41666666666666669</v>
      </c>
      <c r="AD13" s="41">
        <f t="shared" si="16"/>
        <v>0.58333333333333337</v>
      </c>
      <c r="AE13" s="41">
        <f t="shared" si="4"/>
        <v>0.16666666666666669</v>
      </c>
      <c r="AF13" s="41">
        <f t="shared" si="17"/>
        <v>0.16033333333333336</v>
      </c>
      <c r="AG13" s="32"/>
      <c r="AH13" s="49"/>
      <c r="AI13" s="48">
        <f t="shared" si="5"/>
        <v>0.41666666666666669</v>
      </c>
      <c r="AJ13" s="41">
        <f t="shared" si="18"/>
        <v>0.58333333333333337</v>
      </c>
      <c r="AK13" s="41">
        <f t="shared" si="6"/>
        <v>0.16666666666666669</v>
      </c>
      <c r="AL13" s="41">
        <f t="shared" si="19"/>
        <v>0.16033333333333336</v>
      </c>
      <c r="AM13" s="32"/>
      <c r="AN13" s="32"/>
      <c r="AO13" s="74">
        <f t="shared" si="20"/>
        <v>0</v>
      </c>
      <c r="AP13" s="73"/>
    </row>
    <row r="14" spans="1:42" s="1" customFormat="1">
      <c r="A14" s="11" t="s">
        <v>120</v>
      </c>
      <c r="B14" s="36" t="s">
        <v>121</v>
      </c>
      <c r="C14" s="13" t="s">
        <v>122</v>
      </c>
      <c r="D14" s="13" t="s">
        <v>139</v>
      </c>
      <c r="E14" s="30" t="s">
        <v>123</v>
      </c>
      <c r="F14" s="18">
        <v>0.877</v>
      </c>
      <c r="G14" s="31">
        <v>0.86599999999999999</v>
      </c>
      <c r="H14" s="31">
        <v>0.88</v>
      </c>
      <c r="I14" s="31"/>
      <c r="J14" s="40" t="s">
        <v>57</v>
      </c>
      <c r="K14" s="48">
        <f t="shared" si="7"/>
        <v>0.41666666666666669</v>
      </c>
      <c r="L14" s="41">
        <f>TIME(12,29,47)</f>
        <v>0.52068287037037042</v>
      </c>
      <c r="M14" s="41">
        <f t="shared" si="9"/>
        <v>0.10401620370370374</v>
      </c>
      <c r="N14" s="41">
        <f t="shared" si="10"/>
        <v>9.1222210648148172E-2</v>
      </c>
      <c r="O14" s="14">
        <v>1</v>
      </c>
      <c r="P14" s="37">
        <v>1</v>
      </c>
      <c r="Q14" s="48">
        <f t="shared" si="11"/>
        <v>0.41666666666666669</v>
      </c>
      <c r="R14" s="41">
        <f>TIME(12,26,10)</f>
        <v>0.51817129629629632</v>
      </c>
      <c r="S14" s="41">
        <f t="shared" si="0"/>
        <v>0.10150462962962964</v>
      </c>
      <c r="T14" s="41">
        <f t="shared" si="13"/>
        <v>8.9019560185185198E-2</v>
      </c>
      <c r="U14" s="14">
        <v>6</v>
      </c>
      <c r="V14" s="43">
        <v>6</v>
      </c>
      <c r="W14" s="85">
        <f t="shared" si="1"/>
        <v>0.41666666666666669</v>
      </c>
      <c r="X14" s="41">
        <f>TIME(11,49,10)</f>
        <v>0.49247685185185186</v>
      </c>
      <c r="Y14" s="41">
        <f t="shared" si="2"/>
        <v>7.5810185185185175E-2</v>
      </c>
      <c r="Z14" s="41">
        <f t="shared" si="15"/>
        <v>6.6485532407407399E-2</v>
      </c>
      <c r="AA14" s="14">
        <v>6</v>
      </c>
      <c r="AB14" s="43">
        <v>6</v>
      </c>
      <c r="AC14" s="85">
        <f t="shared" si="3"/>
        <v>0.41666666666666669</v>
      </c>
      <c r="AD14" s="41">
        <f>TIME(11,52,38)</f>
        <v>0.49488425925925927</v>
      </c>
      <c r="AE14" s="41">
        <f t="shared" si="4"/>
        <v>7.8217592592592589E-2</v>
      </c>
      <c r="AF14" s="41">
        <f t="shared" si="17"/>
        <v>6.8596828703703705E-2</v>
      </c>
      <c r="AG14" s="14">
        <v>6</v>
      </c>
      <c r="AH14" s="50">
        <v>6</v>
      </c>
      <c r="AI14" s="48">
        <f t="shared" si="5"/>
        <v>0.41666666666666669</v>
      </c>
      <c r="AJ14" s="41">
        <f>TIME(10,55,45)</f>
        <v>0.45538194444444446</v>
      </c>
      <c r="AK14" s="41">
        <f t="shared" si="6"/>
        <v>3.8715277777777779E-2</v>
      </c>
      <c r="AL14" s="41">
        <f t="shared" si="19"/>
        <v>3.3953298611111113E-2</v>
      </c>
      <c r="AM14" s="14">
        <v>6</v>
      </c>
      <c r="AN14" s="90">
        <v>0</v>
      </c>
      <c r="AO14" s="74">
        <f t="shared" si="20"/>
        <v>19</v>
      </c>
      <c r="AP14" s="75">
        <v>6</v>
      </c>
    </row>
    <row r="15" spans="1:42" s="1" customFormat="1">
      <c r="A15" s="11" t="s">
        <v>61</v>
      </c>
      <c r="B15" s="13" t="s">
        <v>42</v>
      </c>
      <c r="C15" s="13" t="s">
        <v>154</v>
      </c>
      <c r="D15" s="13" t="s">
        <v>155</v>
      </c>
      <c r="E15" s="30" t="s">
        <v>163</v>
      </c>
      <c r="F15" s="18">
        <v>1.0860000000000001</v>
      </c>
      <c r="G15" s="31">
        <v>1.0669999999999999</v>
      </c>
      <c r="H15" s="31">
        <v>1.0860000000000001</v>
      </c>
      <c r="I15" s="31">
        <v>1.0669999999999999</v>
      </c>
      <c r="J15" s="40" t="s">
        <v>57</v>
      </c>
      <c r="K15" s="48">
        <f t="shared" si="7"/>
        <v>0.41666666666666669</v>
      </c>
      <c r="L15" s="41">
        <f>TIME(12,9,26)</f>
        <v>0.50655092592592588</v>
      </c>
      <c r="M15" s="41">
        <f t="shared" si="9"/>
        <v>8.9884259259259192E-2</v>
      </c>
      <c r="N15" s="41">
        <f t="shared" si="10"/>
        <v>9.7614305555555489E-2</v>
      </c>
      <c r="O15" s="14">
        <v>6</v>
      </c>
      <c r="P15" s="79">
        <v>0</v>
      </c>
      <c r="Q15" s="48">
        <f t="shared" si="11"/>
        <v>0.41666666666666669</v>
      </c>
      <c r="R15" s="41">
        <f>TIME(11,27,12)</f>
        <v>0.47722222222222221</v>
      </c>
      <c r="S15" s="41">
        <f t="shared" si="0"/>
        <v>6.0555555555555529E-2</v>
      </c>
      <c r="T15" s="41">
        <f t="shared" si="13"/>
        <v>6.5763333333333313E-2</v>
      </c>
      <c r="U15" s="14">
        <v>1</v>
      </c>
      <c r="V15" s="43">
        <v>1</v>
      </c>
      <c r="W15" s="85">
        <f t="shared" si="1"/>
        <v>0.41666666666666669</v>
      </c>
      <c r="X15" s="41">
        <f>TIME(11,20,20)</f>
        <v>0.47245370370370371</v>
      </c>
      <c r="Y15" s="41">
        <f t="shared" si="2"/>
        <v>5.5787037037037024E-2</v>
      </c>
      <c r="Z15" s="41">
        <f t="shared" si="15"/>
        <v>6.0584722222222213E-2</v>
      </c>
      <c r="AA15" s="14">
        <v>1</v>
      </c>
      <c r="AB15" s="43">
        <v>1</v>
      </c>
      <c r="AC15" s="85">
        <f t="shared" si="3"/>
        <v>0.41666666666666669</v>
      </c>
      <c r="AD15" s="41">
        <f>TIME(11,15,50)</f>
        <v>0.46932870370370372</v>
      </c>
      <c r="AE15" s="41">
        <f t="shared" si="4"/>
        <v>5.2662037037037035E-2</v>
      </c>
      <c r="AF15" s="41">
        <f t="shared" si="17"/>
        <v>5.7190972222222226E-2</v>
      </c>
      <c r="AG15" s="14">
        <v>1</v>
      </c>
      <c r="AH15" s="43">
        <v>1</v>
      </c>
      <c r="AI15" s="48">
        <f t="shared" si="5"/>
        <v>0.41666666666666669</v>
      </c>
      <c r="AJ15" s="41">
        <f>TIME(10,43,26)</f>
        <v>0.4468287037037037</v>
      </c>
      <c r="AK15" s="41">
        <f t="shared" si="6"/>
        <v>3.0162037037037015E-2</v>
      </c>
      <c r="AL15" s="41">
        <f t="shared" si="19"/>
        <v>3.27559722222222E-2</v>
      </c>
      <c r="AM15" s="14">
        <v>2</v>
      </c>
      <c r="AN15" s="14">
        <v>2</v>
      </c>
      <c r="AO15" s="74">
        <f t="shared" si="20"/>
        <v>5</v>
      </c>
      <c r="AP15" s="75">
        <v>1</v>
      </c>
    </row>
    <row r="16" spans="1:42" s="1" customFormat="1">
      <c r="A16" s="11" t="s">
        <v>41</v>
      </c>
      <c r="B16" s="13" t="s">
        <v>42</v>
      </c>
      <c r="C16" s="13" t="s">
        <v>54</v>
      </c>
      <c r="D16" s="13" t="s">
        <v>132</v>
      </c>
      <c r="E16" s="30" t="s">
        <v>98</v>
      </c>
      <c r="F16" s="18">
        <v>1.0109999999999999</v>
      </c>
      <c r="G16" s="31">
        <v>0.99399999999999999</v>
      </c>
      <c r="H16" s="31">
        <v>1.034</v>
      </c>
      <c r="I16" s="31"/>
      <c r="J16" s="40" t="s">
        <v>57</v>
      </c>
      <c r="K16" s="48">
        <f t="shared" si="7"/>
        <v>0.41666666666666669</v>
      </c>
      <c r="L16" s="41">
        <f>TIME(12,14,12)</f>
        <v>0.5098611111111111</v>
      </c>
      <c r="M16" s="41">
        <f t="shared" si="9"/>
        <v>9.3194444444444413E-2</v>
      </c>
      <c r="N16" s="41">
        <f t="shared" si="10"/>
        <v>9.4219583333333287E-2</v>
      </c>
      <c r="O16" s="14">
        <v>5</v>
      </c>
      <c r="P16" s="37">
        <v>5</v>
      </c>
      <c r="Q16" s="48">
        <f t="shared" si="11"/>
        <v>0.41666666666666669</v>
      </c>
      <c r="R16" s="41">
        <f>TIME(11,44,14)</f>
        <v>0.48905092592592592</v>
      </c>
      <c r="S16" s="41">
        <f t="shared" si="0"/>
        <v>7.2384259259259232E-2</v>
      </c>
      <c r="T16" s="41">
        <f t="shared" si="13"/>
        <v>7.3180486111111082E-2</v>
      </c>
      <c r="U16" s="14">
        <v>2</v>
      </c>
      <c r="V16" s="43">
        <v>2</v>
      </c>
      <c r="W16" s="85">
        <f t="shared" si="1"/>
        <v>0.41666666666666669</v>
      </c>
      <c r="X16" s="41">
        <f>TIME(11,33,17)</f>
        <v>0.48144675925925928</v>
      </c>
      <c r="Y16" s="41">
        <f t="shared" si="2"/>
        <v>6.4780092592592597E-2</v>
      </c>
      <c r="Z16" s="41">
        <f t="shared" si="15"/>
        <v>6.5492673611111107E-2</v>
      </c>
      <c r="AA16" s="14">
        <v>5</v>
      </c>
      <c r="AB16" s="50">
        <v>5</v>
      </c>
      <c r="AC16" s="85">
        <f t="shared" si="3"/>
        <v>0.41666666666666669</v>
      </c>
      <c r="AD16" s="41">
        <f>TIME(11,23,35)</f>
        <v>0.47471064814814817</v>
      </c>
      <c r="AE16" s="41">
        <f t="shared" si="4"/>
        <v>5.8043981481481488E-2</v>
      </c>
      <c r="AF16" s="41">
        <f t="shared" si="17"/>
        <v>5.8682465277777776E-2</v>
      </c>
      <c r="AG16" s="14">
        <v>2</v>
      </c>
      <c r="AH16" s="43">
        <v>2</v>
      </c>
      <c r="AI16" s="48">
        <f t="shared" si="5"/>
        <v>0.41666666666666669</v>
      </c>
      <c r="AJ16" s="41">
        <f>TIME(10,47,22)</f>
        <v>0.4495601851851852</v>
      </c>
      <c r="AK16" s="41">
        <f t="shared" si="6"/>
        <v>3.2893518518518516E-2</v>
      </c>
      <c r="AL16" s="41">
        <f t="shared" si="19"/>
        <v>3.3255347222222217E-2</v>
      </c>
      <c r="AM16" s="14">
        <v>5</v>
      </c>
      <c r="AN16" s="90">
        <v>0</v>
      </c>
      <c r="AO16" s="74">
        <f t="shared" si="20"/>
        <v>14</v>
      </c>
      <c r="AP16" s="75">
        <v>5</v>
      </c>
    </row>
    <row r="17" spans="1:42">
      <c r="A17" s="9"/>
      <c r="B17" s="9"/>
      <c r="C17" s="9"/>
      <c r="D17" s="9"/>
      <c r="E17" s="29"/>
      <c r="F17" s="16"/>
      <c r="G17" s="16"/>
      <c r="H17" s="16"/>
      <c r="I17" s="16"/>
      <c r="J17" s="38"/>
      <c r="K17" s="48"/>
      <c r="L17" s="41"/>
      <c r="M17" s="41"/>
      <c r="N17" s="41"/>
      <c r="O17" s="16"/>
      <c r="P17" s="38"/>
      <c r="Q17" s="48"/>
      <c r="R17" s="41"/>
      <c r="S17" s="41"/>
      <c r="T17" s="41"/>
      <c r="U17" s="16"/>
      <c r="V17" s="45"/>
      <c r="W17" s="85"/>
      <c r="X17" s="41"/>
      <c r="Y17" s="41"/>
      <c r="Z17" s="41"/>
      <c r="AA17" s="16"/>
      <c r="AB17" s="45"/>
      <c r="AC17" s="85"/>
      <c r="AD17" s="41"/>
      <c r="AE17" s="41"/>
      <c r="AF17" s="41"/>
      <c r="AG17" s="16"/>
      <c r="AH17" s="45"/>
      <c r="AI17" s="48"/>
      <c r="AJ17" s="41"/>
      <c r="AK17" s="41"/>
      <c r="AL17" s="41"/>
      <c r="AM17" s="16"/>
      <c r="AN17" s="45"/>
      <c r="AO17" s="74"/>
      <c r="AP17" s="73"/>
    </row>
    <row r="18" spans="1:42">
      <c r="A18" s="10" t="s">
        <v>39</v>
      </c>
      <c r="B18" s="9"/>
      <c r="C18" s="9"/>
      <c r="D18" s="9"/>
      <c r="E18" s="29"/>
      <c r="F18" s="16"/>
      <c r="G18" s="16"/>
      <c r="H18" s="16"/>
      <c r="I18" s="16"/>
      <c r="J18" s="38"/>
      <c r="K18" s="48"/>
      <c r="L18" s="41"/>
      <c r="M18" s="41"/>
      <c r="N18" s="41"/>
      <c r="O18" s="16"/>
      <c r="P18" s="38"/>
      <c r="Q18" s="48"/>
      <c r="R18" s="41"/>
      <c r="S18" s="41"/>
      <c r="T18" s="41"/>
      <c r="U18" s="16"/>
      <c r="V18" s="45"/>
      <c r="W18" s="85"/>
      <c r="X18" s="41"/>
      <c r="Y18" s="41"/>
      <c r="Z18" s="41"/>
      <c r="AA18" s="16"/>
      <c r="AB18" s="45"/>
      <c r="AC18" s="85"/>
      <c r="AD18" s="41"/>
      <c r="AE18" s="41"/>
      <c r="AF18" s="41"/>
      <c r="AG18" s="16"/>
      <c r="AH18" s="45"/>
      <c r="AI18" s="48"/>
      <c r="AJ18" s="41"/>
      <c r="AK18" s="41"/>
      <c r="AL18" s="41"/>
      <c r="AM18" s="16"/>
      <c r="AN18" s="45"/>
      <c r="AO18" s="74"/>
      <c r="AP18" s="73"/>
    </row>
    <row r="19" spans="1:42" s="1" customFormat="1">
      <c r="A19" s="11" t="s">
        <v>2</v>
      </c>
      <c r="B19" s="11" t="s">
        <v>3</v>
      </c>
      <c r="C19" s="11" t="s">
        <v>50</v>
      </c>
      <c r="D19" s="11" t="s">
        <v>133</v>
      </c>
      <c r="E19" s="33" t="s">
        <v>84</v>
      </c>
      <c r="F19" s="18"/>
      <c r="G19" s="18"/>
      <c r="H19" s="18">
        <v>0.98299999999999998</v>
      </c>
      <c r="I19" s="18"/>
      <c r="J19" s="39" t="s">
        <v>57</v>
      </c>
      <c r="K19" s="48">
        <f t="shared" si="7"/>
        <v>0.41666666666666669</v>
      </c>
      <c r="L19" s="41">
        <f>TIME(12,32,0)</f>
        <v>0.52222222222222225</v>
      </c>
      <c r="M19" s="41">
        <f t="shared" si="9"/>
        <v>0.10555555555555557</v>
      </c>
      <c r="N19" s="41">
        <f>M19*H19</f>
        <v>0.10376111111111112</v>
      </c>
      <c r="O19" s="14">
        <v>3</v>
      </c>
      <c r="P19" s="37">
        <v>3</v>
      </c>
      <c r="Q19" s="48">
        <f t="shared" si="11"/>
        <v>0.41666666666666669</v>
      </c>
      <c r="R19" s="41">
        <f>TIME(12,33,50)</f>
        <v>0.52349537037037031</v>
      </c>
      <c r="S19" s="41">
        <f t="shared" ref="S19:S39" si="21">R19-Q19</f>
        <v>0.10682870370370362</v>
      </c>
      <c r="T19" s="41">
        <f>S19*H19</f>
        <v>0.10501261574074065</v>
      </c>
      <c r="U19" s="14">
        <v>4</v>
      </c>
      <c r="V19" s="50">
        <v>4</v>
      </c>
      <c r="W19" s="85">
        <f t="shared" ref="W19:W27" si="22">TIME(10,0,0)</f>
        <v>0.41666666666666669</v>
      </c>
      <c r="X19" s="41">
        <f>TIME(11,41,20)</f>
        <v>0.48703703703703699</v>
      </c>
      <c r="Y19" s="41">
        <f t="shared" ref="Y19:Y31" si="23">X19-W19</f>
        <v>7.0370370370370305E-2</v>
      </c>
      <c r="Z19" s="41">
        <f>Y19*H19</f>
        <v>6.9174074074074013E-2</v>
      </c>
      <c r="AA19" s="14">
        <v>2</v>
      </c>
      <c r="AB19" s="43">
        <v>2</v>
      </c>
      <c r="AC19" s="85">
        <f t="shared" ref="AC19:AC27" si="24">TIME(10,0,0)</f>
        <v>0.41666666666666669</v>
      </c>
      <c r="AD19" s="41">
        <f>TIME(11,44,28)</f>
        <v>0.48921296296296296</v>
      </c>
      <c r="AE19" s="41">
        <f t="shared" ref="AE19:AE27" si="25">AD19-AC19</f>
        <v>7.2546296296296275E-2</v>
      </c>
      <c r="AF19" s="41">
        <f>AE19*H19</f>
        <v>7.1313009259259236E-2</v>
      </c>
      <c r="AG19" s="14">
        <v>2</v>
      </c>
      <c r="AH19" s="43">
        <v>2</v>
      </c>
      <c r="AI19" s="48">
        <f t="shared" ref="AI19:AI26" si="26">TIME(10,0,0)</f>
        <v>0.41666666666666669</v>
      </c>
      <c r="AJ19" s="41">
        <f>TIME(10,55,5)</f>
        <v>0.45491898148148152</v>
      </c>
      <c r="AK19" s="41">
        <f t="shared" ref="AK19:AK26" si="27">AJ19-AI19</f>
        <v>3.8252314814814836E-2</v>
      </c>
      <c r="AL19" s="41">
        <f>AK19*H19</f>
        <v>3.7602025462962985E-2</v>
      </c>
      <c r="AM19" s="14">
        <v>4</v>
      </c>
      <c r="AN19" s="75">
        <v>0</v>
      </c>
      <c r="AO19" s="74">
        <f t="shared" si="20"/>
        <v>11</v>
      </c>
      <c r="AP19" s="75">
        <v>3</v>
      </c>
    </row>
    <row r="20" spans="1:42" s="2" customFormat="1" hidden="1">
      <c r="A20" s="11" t="s">
        <v>88</v>
      </c>
      <c r="B20" s="11" t="s">
        <v>89</v>
      </c>
      <c r="C20" s="11" t="s">
        <v>90</v>
      </c>
      <c r="D20" s="11" t="s">
        <v>134</v>
      </c>
      <c r="E20" s="33" t="s">
        <v>84</v>
      </c>
      <c r="F20" s="18"/>
      <c r="G20" s="18"/>
      <c r="H20" s="18">
        <v>0.82</v>
      </c>
      <c r="I20" s="18"/>
      <c r="J20" s="39" t="s">
        <v>57</v>
      </c>
      <c r="K20" s="48">
        <f t="shared" si="7"/>
        <v>0.41666666666666669</v>
      </c>
      <c r="L20" s="41">
        <f t="shared" si="8"/>
        <v>0.52210648148148142</v>
      </c>
      <c r="M20" s="41">
        <f t="shared" si="9"/>
        <v>0.10543981481481474</v>
      </c>
      <c r="N20" s="41">
        <f t="shared" si="10"/>
        <v>0</v>
      </c>
      <c r="O20" s="14"/>
      <c r="P20" s="37"/>
      <c r="Q20" s="48">
        <f t="shared" si="11"/>
        <v>0.41666666666666669</v>
      </c>
      <c r="R20" s="41">
        <f t="shared" si="12"/>
        <v>0.5</v>
      </c>
      <c r="S20" s="41">
        <f t="shared" si="21"/>
        <v>8.3333333333333315E-2</v>
      </c>
      <c r="T20" s="41">
        <f t="shared" si="13"/>
        <v>0</v>
      </c>
      <c r="U20" s="14"/>
      <c r="V20" s="43"/>
      <c r="W20" s="85">
        <f t="shared" si="22"/>
        <v>0.41666666666666669</v>
      </c>
      <c r="X20" s="41">
        <f t="shared" si="14"/>
        <v>0.5</v>
      </c>
      <c r="Y20" s="41">
        <f t="shared" si="23"/>
        <v>8.3333333333333315E-2</v>
      </c>
      <c r="Z20" s="41">
        <f t="shared" si="15"/>
        <v>0</v>
      </c>
      <c r="AA20" s="14"/>
      <c r="AB20" s="43"/>
      <c r="AC20" s="85">
        <f t="shared" si="24"/>
        <v>0.41666666666666669</v>
      </c>
      <c r="AD20" s="41">
        <f t="shared" si="16"/>
        <v>0.58333333333333337</v>
      </c>
      <c r="AE20" s="41">
        <f t="shared" si="25"/>
        <v>0.16666666666666669</v>
      </c>
      <c r="AF20" s="41">
        <f t="shared" ref="AF20:AF34" si="28">AE20*H20</f>
        <v>0.13666666666666669</v>
      </c>
      <c r="AG20" s="14"/>
      <c r="AH20" s="43"/>
      <c r="AI20" s="48">
        <f t="shared" si="26"/>
        <v>0.41666666666666669</v>
      </c>
      <c r="AJ20" s="41">
        <f t="shared" si="18"/>
        <v>0.58333333333333337</v>
      </c>
      <c r="AK20" s="41">
        <f t="shared" si="27"/>
        <v>0.16666666666666669</v>
      </c>
      <c r="AL20" s="41">
        <f t="shared" ref="AL20:AL25" si="29">AK20*N20</f>
        <v>0</v>
      </c>
      <c r="AM20" s="14"/>
      <c r="AN20" s="43"/>
      <c r="AO20" s="74">
        <f t="shared" si="20"/>
        <v>0</v>
      </c>
      <c r="AP20" s="73"/>
    </row>
    <row r="21" spans="1:42" s="2" customFormat="1" hidden="1">
      <c r="A21" s="11" t="s">
        <v>117</v>
      </c>
      <c r="B21" s="11" t="s">
        <v>118</v>
      </c>
      <c r="C21" s="11" t="s">
        <v>119</v>
      </c>
      <c r="D21" s="33" t="s">
        <v>150</v>
      </c>
      <c r="E21" s="33"/>
      <c r="F21" s="18"/>
      <c r="G21" s="18"/>
      <c r="H21" s="18">
        <v>0.85399999999999998</v>
      </c>
      <c r="I21" s="18"/>
      <c r="J21" s="39" t="s">
        <v>57</v>
      </c>
      <c r="K21" s="48">
        <f t="shared" si="7"/>
        <v>0.41666666666666669</v>
      </c>
      <c r="L21" s="41">
        <f t="shared" si="8"/>
        <v>0.52210648148148142</v>
      </c>
      <c r="M21" s="41">
        <f t="shared" si="9"/>
        <v>0.10543981481481474</v>
      </c>
      <c r="N21" s="41">
        <f t="shared" si="10"/>
        <v>0</v>
      </c>
      <c r="O21" s="14"/>
      <c r="P21" s="37"/>
      <c r="Q21" s="48">
        <f t="shared" si="11"/>
        <v>0.41666666666666669</v>
      </c>
      <c r="R21" s="41">
        <f t="shared" si="12"/>
        <v>0.5</v>
      </c>
      <c r="S21" s="41">
        <f t="shared" si="21"/>
        <v>8.3333333333333315E-2</v>
      </c>
      <c r="T21" s="41">
        <f t="shared" si="13"/>
        <v>0</v>
      </c>
      <c r="U21" s="14"/>
      <c r="V21" s="43"/>
      <c r="W21" s="85">
        <f t="shared" si="22"/>
        <v>0.41666666666666669</v>
      </c>
      <c r="X21" s="41">
        <f t="shared" si="14"/>
        <v>0.5</v>
      </c>
      <c r="Y21" s="41">
        <f t="shared" si="23"/>
        <v>8.3333333333333315E-2</v>
      </c>
      <c r="Z21" s="41">
        <f t="shared" si="15"/>
        <v>0</v>
      </c>
      <c r="AA21" s="14"/>
      <c r="AB21" s="43"/>
      <c r="AC21" s="85">
        <f t="shared" si="24"/>
        <v>0.41666666666666669</v>
      </c>
      <c r="AD21" s="41">
        <f t="shared" si="16"/>
        <v>0.58333333333333337</v>
      </c>
      <c r="AE21" s="41">
        <f t="shared" si="25"/>
        <v>0.16666666666666669</v>
      </c>
      <c r="AF21" s="41">
        <f t="shared" si="28"/>
        <v>0.14233333333333334</v>
      </c>
      <c r="AG21" s="14"/>
      <c r="AH21" s="43"/>
      <c r="AI21" s="48">
        <f t="shared" si="26"/>
        <v>0.41666666666666669</v>
      </c>
      <c r="AJ21" s="41">
        <f t="shared" si="18"/>
        <v>0.58333333333333337</v>
      </c>
      <c r="AK21" s="41">
        <f t="shared" si="27"/>
        <v>0.16666666666666669</v>
      </c>
      <c r="AL21" s="41">
        <f t="shared" si="29"/>
        <v>0</v>
      </c>
      <c r="AM21" s="14"/>
      <c r="AN21" s="43"/>
      <c r="AO21" s="74">
        <f t="shared" si="20"/>
        <v>0</v>
      </c>
      <c r="AP21" s="73"/>
    </row>
    <row r="22" spans="1:42" s="2" customFormat="1" hidden="1">
      <c r="A22" s="11" t="s">
        <v>47</v>
      </c>
      <c r="B22" s="11" t="s">
        <v>48</v>
      </c>
      <c r="C22" s="11" t="s">
        <v>49</v>
      </c>
      <c r="D22" s="11" t="s">
        <v>135</v>
      </c>
      <c r="E22" s="33" t="s">
        <v>124</v>
      </c>
      <c r="F22" s="18"/>
      <c r="G22" s="18"/>
      <c r="H22" s="18">
        <v>0.96799999999999997</v>
      </c>
      <c r="I22" s="18">
        <v>0.93500000000000005</v>
      </c>
      <c r="J22" s="39" t="s">
        <v>57</v>
      </c>
      <c r="K22" s="48">
        <f t="shared" si="7"/>
        <v>0.41666666666666669</v>
      </c>
      <c r="L22" s="41">
        <f t="shared" si="8"/>
        <v>0.52210648148148142</v>
      </c>
      <c r="M22" s="41">
        <f t="shared" si="9"/>
        <v>0.10543981481481474</v>
      </c>
      <c r="N22" s="41">
        <f t="shared" si="10"/>
        <v>0</v>
      </c>
      <c r="O22" s="14"/>
      <c r="P22" s="37"/>
      <c r="Q22" s="48">
        <f t="shared" si="11"/>
        <v>0.41666666666666669</v>
      </c>
      <c r="R22" s="41">
        <f t="shared" si="12"/>
        <v>0.5</v>
      </c>
      <c r="S22" s="41">
        <f t="shared" si="21"/>
        <v>8.3333333333333315E-2</v>
      </c>
      <c r="T22" s="41">
        <f t="shared" si="13"/>
        <v>0</v>
      </c>
      <c r="U22" s="14"/>
      <c r="V22" s="43"/>
      <c r="W22" s="85">
        <f t="shared" si="22"/>
        <v>0.41666666666666669</v>
      </c>
      <c r="X22" s="41">
        <f t="shared" si="14"/>
        <v>0.5</v>
      </c>
      <c r="Y22" s="41">
        <f t="shared" si="23"/>
        <v>8.3333333333333315E-2</v>
      </c>
      <c r="Z22" s="41">
        <f t="shared" si="15"/>
        <v>0</v>
      </c>
      <c r="AA22" s="14"/>
      <c r="AB22" s="43"/>
      <c r="AC22" s="85">
        <f t="shared" si="24"/>
        <v>0.41666666666666669</v>
      </c>
      <c r="AD22" s="41">
        <f t="shared" si="16"/>
        <v>0.58333333333333337</v>
      </c>
      <c r="AE22" s="41">
        <f t="shared" si="25"/>
        <v>0.16666666666666669</v>
      </c>
      <c r="AF22" s="41">
        <f t="shared" si="28"/>
        <v>0.16133333333333336</v>
      </c>
      <c r="AG22" s="14"/>
      <c r="AH22" s="43"/>
      <c r="AI22" s="48">
        <f t="shared" si="26"/>
        <v>0.41666666666666669</v>
      </c>
      <c r="AJ22" s="41">
        <f t="shared" si="18"/>
        <v>0.58333333333333337</v>
      </c>
      <c r="AK22" s="41">
        <f t="shared" si="27"/>
        <v>0.16666666666666669</v>
      </c>
      <c r="AL22" s="41">
        <f t="shared" si="29"/>
        <v>0</v>
      </c>
      <c r="AM22" s="14"/>
      <c r="AN22" s="43"/>
      <c r="AO22" s="74">
        <f t="shared" si="20"/>
        <v>0</v>
      </c>
      <c r="AP22" s="73"/>
    </row>
    <row r="23" spans="1:42" s="2" customFormat="1" hidden="1">
      <c r="A23" s="11" t="s">
        <v>109</v>
      </c>
      <c r="B23" s="11" t="s">
        <v>17</v>
      </c>
      <c r="C23" s="11" t="s">
        <v>59</v>
      </c>
      <c r="D23" s="11" t="s">
        <v>146</v>
      </c>
      <c r="E23" s="33" t="s">
        <v>97</v>
      </c>
      <c r="F23" s="18"/>
      <c r="G23" s="18"/>
      <c r="H23" s="18">
        <v>0.94699999999999995</v>
      </c>
      <c r="I23" s="18"/>
      <c r="J23" s="39" t="s">
        <v>57</v>
      </c>
      <c r="K23" s="48">
        <f t="shared" si="7"/>
        <v>0.41666666666666669</v>
      </c>
      <c r="L23" s="41">
        <f t="shared" si="8"/>
        <v>0.52210648148148142</v>
      </c>
      <c r="M23" s="41">
        <f t="shared" si="9"/>
        <v>0.10543981481481474</v>
      </c>
      <c r="N23" s="41">
        <f t="shared" si="10"/>
        <v>0</v>
      </c>
      <c r="O23" s="14"/>
      <c r="P23" s="37"/>
      <c r="Q23" s="48">
        <f t="shared" si="11"/>
        <v>0.41666666666666669</v>
      </c>
      <c r="R23" s="41">
        <f t="shared" si="12"/>
        <v>0.5</v>
      </c>
      <c r="S23" s="41">
        <f t="shared" si="21"/>
        <v>8.3333333333333315E-2</v>
      </c>
      <c r="T23" s="41">
        <f t="shared" si="13"/>
        <v>0</v>
      </c>
      <c r="U23" s="14"/>
      <c r="V23" s="43"/>
      <c r="W23" s="85">
        <f t="shared" si="22"/>
        <v>0.41666666666666669</v>
      </c>
      <c r="X23" s="41">
        <f t="shared" si="14"/>
        <v>0.5</v>
      </c>
      <c r="Y23" s="41">
        <f t="shared" si="23"/>
        <v>8.3333333333333315E-2</v>
      </c>
      <c r="Z23" s="41">
        <f t="shared" si="15"/>
        <v>0</v>
      </c>
      <c r="AA23" s="14"/>
      <c r="AB23" s="43"/>
      <c r="AC23" s="85">
        <f t="shared" si="24"/>
        <v>0.41666666666666669</v>
      </c>
      <c r="AD23" s="41">
        <f t="shared" si="16"/>
        <v>0.58333333333333337</v>
      </c>
      <c r="AE23" s="41">
        <f t="shared" si="25"/>
        <v>0.16666666666666669</v>
      </c>
      <c r="AF23" s="41">
        <f t="shared" si="28"/>
        <v>0.15783333333333335</v>
      </c>
      <c r="AG23" s="14"/>
      <c r="AH23" s="43"/>
      <c r="AI23" s="48">
        <f t="shared" si="26"/>
        <v>0.41666666666666669</v>
      </c>
      <c r="AJ23" s="41">
        <f t="shared" si="18"/>
        <v>0.58333333333333337</v>
      </c>
      <c r="AK23" s="41">
        <f t="shared" si="27"/>
        <v>0.16666666666666669</v>
      </c>
      <c r="AL23" s="41">
        <f t="shared" si="29"/>
        <v>0</v>
      </c>
      <c r="AM23" s="14"/>
      <c r="AN23" s="43"/>
      <c r="AO23" s="74">
        <f t="shared" si="20"/>
        <v>0</v>
      </c>
      <c r="AP23" s="73"/>
    </row>
    <row r="24" spans="1:42" s="2" customFormat="1" hidden="1">
      <c r="A24" s="11" t="s">
        <v>30</v>
      </c>
      <c r="B24" s="11" t="s">
        <v>31</v>
      </c>
      <c r="C24" s="11" t="s">
        <v>35</v>
      </c>
      <c r="D24" s="11" t="s">
        <v>143</v>
      </c>
      <c r="E24" s="33" t="s">
        <v>85</v>
      </c>
      <c r="F24" s="18"/>
      <c r="G24" s="18"/>
      <c r="H24" s="18"/>
      <c r="I24" s="18">
        <v>0.9</v>
      </c>
      <c r="J24" s="39" t="s">
        <v>57</v>
      </c>
      <c r="K24" s="48">
        <f t="shared" si="7"/>
        <v>0.41666666666666669</v>
      </c>
      <c r="L24" s="41">
        <f t="shared" si="8"/>
        <v>0.52210648148148142</v>
      </c>
      <c r="M24" s="41">
        <f t="shared" si="9"/>
        <v>0.10543981481481474</v>
      </c>
      <c r="N24" s="41">
        <f t="shared" si="10"/>
        <v>0</v>
      </c>
      <c r="O24" s="14"/>
      <c r="P24" s="37"/>
      <c r="Q24" s="48">
        <f t="shared" si="11"/>
        <v>0.41666666666666669</v>
      </c>
      <c r="R24" s="41">
        <f t="shared" si="12"/>
        <v>0.5</v>
      </c>
      <c r="S24" s="41">
        <f t="shared" si="21"/>
        <v>8.3333333333333315E-2</v>
      </c>
      <c r="T24" s="41">
        <f t="shared" si="13"/>
        <v>0</v>
      </c>
      <c r="U24" s="14"/>
      <c r="V24" s="43"/>
      <c r="W24" s="85">
        <f t="shared" si="22"/>
        <v>0.41666666666666669</v>
      </c>
      <c r="X24" s="41">
        <f t="shared" si="14"/>
        <v>0.5</v>
      </c>
      <c r="Y24" s="41">
        <f t="shared" si="23"/>
        <v>8.3333333333333315E-2</v>
      </c>
      <c r="Z24" s="41">
        <f t="shared" si="15"/>
        <v>0</v>
      </c>
      <c r="AA24" s="14"/>
      <c r="AB24" s="43"/>
      <c r="AC24" s="85">
        <f t="shared" si="24"/>
        <v>0.41666666666666669</v>
      </c>
      <c r="AD24" s="41">
        <f t="shared" si="16"/>
        <v>0.58333333333333337</v>
      </c>
      <c r="AE24" s="41">
        <f t="shared" si="25"/>
        <v>0.16666666666666669</v>
      </c>
      <c r="AF24" s="41">
        <f t="shared" si="28"/>
        <v>0</v>
      </c>
      <c r="AG24" s="14"/>
      <c r="AH24" s="43"/>
      <c r="AI24" s="48">
        <f t="shared" si="26"/>
        <v>0.41666666666666669</v>
      </c>
      <c r="AJ24" s="41">
        <f t="shared" si="18"/>
        <v>0.58333333333333337</v>
      </c>
      <c r="AK24" s="41">
        <f t="shared" si="27"/>
        <v>0.16666666666666669</v>
      </c>
      <c r="AL24" s="41">
        <f t="shared" si="29"/>
        <v>0</v>
      </c>
      <c r="AM24" s="14"/>
      <c r="AN24" s="43"/>
      <c r="AO24" s="74">
        <f t="shared" si="20"/>
        <v>0</v>
      </c>
      <c r="AP24" s="73"/>
    </row>
    <row r="25" spans="1:42" s="2" customFormat="1" hidden="1">
      <c r="A25" s="11" t="s">
        <v>14</v>
      </c>
      <c r="B25" s="11" t="s">
        <v>15</v>
      </c>
      <c r="C25" s="11" t="s">
        <v>62</v>
      </c>
      <c r="D25" s="11" t="s">
        <v>142</v>
      </c>
      <c r="E25" s="33" t="s">
        <v>115</v>
      </c>
      <c r="F25" s="18"/>
      <c r="G25" s="18"/>
      <c r="H25" s="18">
        <v>0.92400000000000004</v>
      </c>
      <c r="I25" s="18"/>
      <c r="J25" s="39" t="s">
        <v>57</v>
      </c>
      <c r="K25" s="48">
        <f t="shared" si="7"/>
        <v>0.41666666666666669</v>
      </c>
      <c r="L25" s="41">
        <f t="shared" si="8"/>
        <v>0.52210648148148142</v>
      </c>
      <c r="M25" s="41">
        <f t="shared" si="9"/>
        <v>0.10543981481481474</v>
      </c>
      <c r="N25" s="41">
        <f t="shared" si="10"/>
        <v>0</v>
      </c>
      <c r="O25" s="14"/>
      <c r="P25" s="37"/>
      <c r="Q25" s="48">
        <f t="shared" si="11"/>
        <v>0.41666666666666669</v>
      </c>
      <c r="R25" s="41">
        <f t="shared" si="12"/>
        <v>0.5</v>
      </c>
      <c r="S25" s="41">
        <f t="shared" si="21"/>
        <v>8.3333333333333315E-2</v>
      </c>
      <c r="T25" s="41">
        <f t="shared" si="13"/>
        <v>0</v>
      </c>
      <c r="U25" s="14"/>
      <c r="V25" s="43"/>
      <c r="W25" s="85">
        <f t="shared" si="22"/>
        <v>0.41666666666666669</v>
      </c>
      <c r="X25" s="41">
        <f t="shared" si="14"/>
        <v>0.5</v>
      </c>
      <c r="Y25" s="41">
        <f t="shared" si="23"/>
        <v>8.3333333333333315E-2</v>
      </c>
      <c r="Z25" s="41">
        <f t="shared" si="15"/>
        <v>0</v>
      </c>
      <c r="AA25" s="14"/>
      <c r="AB25" s="43"/>
      <c r="AC25" s="85">
        <f t="shared" si="24"/>
        <v>0.41666666666666669</v>
      </c>
      <c r="AD25" s="41">
        <f t="shared" si="16"/>
        <v>0.58333333333333337</v>
      </c>
      <c r="AE25" s="41">
        <f t="shared" si="25"/>
        <v>0.16666666666666669</v>
      </c>
      <c r="AF25" s="41">
        <f t="shared" si="28"/>
        <v>0.15400000000000003</v>
      </c>
      <c r="AG25" s="14"/>
      <c r="AH25" s="43"/>
      <c r="AI25" s="48">
        <f t="shared" si="26"/>
        <v>0.41666666666666669</v>
      </c>
      <c r="AJ25" s="41">
        <f t="shared" si="18"/>
        <v>0.58333333333333337</v>
      </c>
      <c r="AK25" s="41">
        <f t="shared" si="27"/>
        <v>0.16666666666666669</v>
      </c>
      <c r="AL25" s="41">
        <f t="shared" si="29"/>
        <v>0</v>
      </c>
      <c r="AM25" s="14"/>
      <c r="AN25" s="43"/>
      <c r="AO25" s="74">
        <f t="shared" si="20"/>
        <v>0</v>
      </c>
      <c r="AP25" s="73"/>
    </row>
    <row r="26" spans="1:42" s="1" customFormat="1">
      <c r="A26" s="11" t="s">
        <v>153</v>
      </c>
      <c r="B26" s="11" t="s">
        <v>34</v>
      </c>
      <c r="C26" s="11" t="s">
        <v>33</v>
      </c>
      <c r="D26" s="11" t="s">
        <v>136</v>
      </c>
      <c r="E26" s="33" t="s">
        <v>78</v>
      </c>
      <c r="F26" s="18"/>
      <c r="G26" s="18"/>
      <c r="H26" s="18"/>
      <c r="I26" s="18">
        <v>0.79100000000000004</v>
      </c>
      <c r="J26" s="39" t="s">
        <v>57</v>
      </c>
      <c r="K26" s="48">
        <f t="shared" si="7"/>
        <v>0.41666666666666669</v>
      </c>
      <c r="L26" s="41">
        <f>TIME(13,6,48)</f>
        <v>0.54638888888888892</v>
      </c>
      <c r="M26" s="41">
        <f t="shared" si="9"/>
        <v>0.12972222222222224</v>
      </c>
      <c r="N26" s="41">
        <f>M26*I26</f>
        <v>0.1026102777777778</v>
      </c>
      <c r="O26" s="14">
        <v>1</v>
      </c>
      <c r="P26" s="37">
        <v>1</v>
      </c>
      <c r="Q26" s="48">
        <f t="shared" si="11"/>
        <v>0.41666666666666669</v>
      </c>
      <c r="R26" s="41">
        <f>TIME(12,51,54)</f>
        <v>0.53604166666666664</v>
      </c>
      <c r="S26" s="41">
        <f t="shared" si="21"/>
        <v>0.11937499999999995</v>
      </c>
      <c r="T26" s="41">
        <f>S26*I26</f>
        <v>9.4425624999999971E-2</v>
      </c>
      <c r="U26" s="14">
        <v>1</v>
      </c>
      <c r="V26" s="43">
        <v>1</v>
      </c>
      <c r="W26" s="85">
        <f t="shared" si="22"/>
        <v>0.41666666666666669</v>
      </c>
      <c r="X26" s="41">
        <f>TIME(11,57,37)</f>
        <v>0.49834490740740739</v>
      </c>
      <c r="Y26" s="41">
        <f t="shared" si="23"/>
        <v>8.1678240740740704E-2</v>
      </c>
      <c r="Z26" s="41">
        <f>Y26*I26</f>
        <v>6.4607488425925896E-2</v>
      </c>
      <c r="AA26" s="14">
        <v>1</v>
      </c>
      <c r="AB26" s="43">
        <v>1</v>
      </c>
      <c r="AC26" s="85">
        <f t="shared" si="24"/>
        <v>0.41666666666666669</v>
      </c>
      <c r="AD26" s="41">
        <f>TIME(12,2,53)</f>
        <v>0.50200231481481483</v>
      </c>
      <c r="AE26" s="41">
        <f t="shared" si="25"/>
        <v>8.5335648148148147E-2</v>
      </c>
      <c r="AF26" s="41">
        <f>AE26*I26</f>
        <v>6.7500497685185193E-2</v>
      </c>
      <c r="AG26" s="14">
        <v>1</v>
      </c>
      <c r="AH26" s="50">
        <v>1</v>
      </c>
      <c r="AI26" s="48">
        <f t="shared" si="26"/>
        <v>0.41666666666666669</v>
      </c>
      <c r="AJ26" s="41">
        <f>TIME(10,57,38)</f>
        <v>0.4566898148148148</v>
      </c>
      <c r="AK26" s="41">
        <f t="shared" si="27"/>
        <v>4.0023148148148113E-2</v>
      </c>
      <c r="AL26" s="41">
        <f>AK26*I26</f>
        <v>3.1658310185185161E-2</v>
      </c>
      <c r="AM26" s="14">
        <v>1</v>
      </c>
      <c r="AN26" s="75">
        <v>0</v>
      </c>
      <c r="AO26" s="74">
        <f t="shared" si="20"/>
        <v>4</v>
      </c>
      <c r="AP26" s="75">
        <v>1</v>
      </c>
    </row>
    <row r="27" spans="1:42" s="4" customFormat="1">
      <c r="A27" s="11" t="s">
        <v>26</v>
      </c>
      <c r="B27" s="11" t="s">
        <v>45</v>
      </c>
      <c r="C27" s="11" t="s">
        <v>46</v>
      </c>
      <c r="D27" s="11" t="s">
        <v>137</v>
      </c>
      <c r="E27" s="33">
        <v>128</v>
      </c>
      <c r="F27" s="18"/>
      <c r="G27" s="18"/>
      <c r="H27" s="18"/>
      <c r="I27" s="18">
        <v>0.79900000000000004</v>
      </c>
      <c r="J27" s="39" t="s">
        <v>57</v>
      </c>
      <c r="K27" s="48">
        <f t="shared" si="7"/>
        <v>0.41666666666666669</v>
      </c>
      <c r="L27" s="41">
        <f>TIME(13,8,0)</f>
        <v>0.54722222222222217</v>
      </c>
      <c r="M27" s="41">
        <f t="shared" si="9"/>
        <v>0.13055555555555548</v>
      </c>
      <c r="N27" s="41">
        <f>M27*I27</f>
        <v>0.10431388888888883</v>
      </c>
      <c r="O27" s="17">
        <v>4</v>
      </c>
      <c r="P27" s="80">
        <v>4</v>
      </c>
      <c r="Q27" s="48">
        <f t="shared" si="11"/>
        <v>0.41666666666666669</v>
      </c>
      <c r="R27" s="41">
        <f>TIME(13,11,50)</f>
        <v>0.54988425925925932</v>
      </c>
      <c r="S27" s="41">
        <f t="shared" si="21"/>
        <v>0.13321759259259264</v>
      </c>
      <c r="T27" s="41">
        <f>S27*I27</f>
        <v>0.10644085648148152</v>
      </c>
      <c r="U27" s="17">
        <v>5</v>
      </c>
      <c r="V27" s="50">
        <v>5</v>
      </c>
      <c r="W27" s="85">
        <f t="shared" si="22"/>
        <v>0.41666666666666669</v>
      </c>
      <c r="X27" s="41">
        <f>TIME(12,9,32)</f>
        <v>0.50662037037037033</v>
      </c>
      <c r="Y27" s="41">
        <f t="shared" si="23"/>
        <v>8.9953703703703647E-2</v>
      </c>
      <c r="Z27" s="41">
        <f>Y27*I27</f>
        <v>7.1873009259259213E-2</v>
      </c>
      <c r="AA27" s="17">
        <v>4</v>
      </c>
      <c r="AB27" s="50">
        <v>4</v>
      </c>
      <c r="AC27" s="85">
        <f t="shared" si="24"/>
        <v>0.41666666666666669</v>
      </c>
      <c r="AD27" s="41">
        <f>TIME(12,25,50)</f>
        <v>0.51793981481481477</v>
      </c>
      <c r="AE27" s="41">
        <f t="shared" si="25"/>
        <v>0.10127314814814808</v>
      </c>
      <c r="AF27" s="41">
        <f>AE27*I27</f>
        <v>8.091724537037033E-2</v>
      </c>
      <c r="AG27" s="17">
        <v>5</v>
      </c>
      <c r="AH27" s="50">
        <v>5</v>
      </c>
      <c r="AI27" s="55" t="s">
        <v>174</v>
      </c>
      <c r="AJ27" s="56" t="s">
        <v>174</v>
      </c>
      <c r="AK27" s="56" t="s">
        <v>174</v>
      </c>
      <c r="AL27" s="56" t="s">
        <v>174</v>
      </c>
      <c r="AM27" s="17" t="s">
        <v>174</v>
      </c>
      <c r="AN27" s="75">
        <v>0</v>
      </c>
      <c r="AO27" s="74">
        <f t="shared" si="20"/>
        <v>18</v>
      </c>
      <c r="AP27" s="75" t="s">
        <v>187</v>
      </c>
    </row>
    <row r="28" spans="1:42" s="1" customFormat="1">
      <c r="A28" s="11" t="s">
        <v>25</v>
      </c>
      <c r="B28" s="11" t="s">
        <v>44</v>
      </c>
      <c r="C28" s="11" t="s">
        <v>51</v>
      </c>
      <c r="D28" s="11" t="s">
        <v>138</v>
      </c>
      <c r="E28" s="33" t="s">
        <v>91</v>
      </c>
      <c r="F28" s="18"/>
      <c r="G28" s="18"/>
      <c r="H28" s="18">
        <v>0.89900000000000002</v>
      </c>
      <c r="I28" s="18"/>
      <c r="J28" s="39" t="s">
        <v>57</v>
      </c>
      <c r="K28" s="48">
        <f t="shared" si="7"/>
        <v>0.41666666666666669</v>
      </c>
      <c r="L28" s="41">
        <f>TIME(13,10,20)</f>
        <v>0.5488425925925926</v>
      </c>
      <c r="M28" s="41">
        <f t="shared" si="9"/>
        <v>0.13217592592592592</v>
      </c>
      <c r="N28" s="41">
        <f>M28*H28</f>
        <v>0.1188261574074074</v>
      </c>
      <c r="O28" s="14">
        <v>8</v>
      </c>
      <c r="P28" s="37">
        <v>8</v>
      </c>
      <c r="Q28" s="48">
        <f t="shared" si="11"/>
        <v>0.41666666666666669</v>
      </c>
      <c r="R28" s="41">
        <f>TIME(12,57,15)</f>
        <v>0.53975694444444444</v>
      </c>
      <c r="S28" s="41">
        <f t="shared" si="21"/>
        <v>0.12309027777777776</v>
      </c>
      <c r="T28" s="41">
        <f t="shared" ref="T28:T33" si="30">S28*H28</f>
        <v>0.1106581597222222</v>
      </c>
      <c r="U28" s="14">
        <v>7</v>
      </c>
      <c r="V28" s="43">
        <v>7</v>
      </c>
      <c r="W28" s="86" t="s">
        <v>174</v>
      </c>
      <c r="X28" s="56" t="s">
        <v>174</v>
      </c>
      <c r="Y28" s="56" t="s">
        <v>174</v>
      </c>
      <c r="Z28" s="56" t="s">
        <v>174</v>
      </c>
      <c r="AA28" s="88" t="s">
        <v>174</v>
      </c>
      <c r="AB28" s="43">
        <v>9</v>
      </c>
      <c r="AC28" s="86" t="s">
        <v>174</v>
      </c>
      <c r="AD28" s="56" t="s">
        <v>174</v>
      </c>
      <c r="AE28" s="56" t="s">
        <v>174</v>
      </c>
      <c r="AF28" s="56" t="s">
        <v>174</v>
      </c>
      <c r="AG28" s="68" t="s">
        <v>174</v>
      </c>
      <c r="AH28" s="43">
        <v>9</v>
      </c>
      <c r="AI28" s="55" t="s">
        <v>174</v>
      </c>
      <c r="AJ28" s="56" t="s">
        <v>174</v>
      </c>
      <c r="AK28" s="56" t="s">
        <v>174</v>
      </c>
      <c r="AL28" s="56" t="s">
        <v>174</v>
      </c>
      <c r="AM28" s="77" t="s">
        <v>174</v>
      </c>
      <c r="AN28" s="75">
        <v>0</v>
      </c>
      <c r="AO28" s="74">
        <f t="shared" si="20"/>
        <v>33</v>
      </c>
      <c r="AP28" s="75">
        <v>8</v>
      </c>
    </row>
    <row r="29" spans="1:42" s="1" customFormat="1" hidden="1">
      <c r="A29" s="11" t="s">
        <v>28</v>
      </c>
      <c r="B29" s="11" t="s">
        <v>29</v>
      </c>
      <c r="C29" s="11" t="s">
        <v>40</v>
      </c>
      <c r="D29" s="11" t="s">
        <v>151</v>
      </c>
      <c r="E29" s="33" t="s">
        <v>159</v>
      </c>
      <c r="F29" s="18">
        <v>1.0089999999999999</v>
      </c>
      <c r="G29" s="18"/>
      <c r="H29" s="18">
        <v>1.01</v>
      </c>
      <c r="I29" s="18"/>
      <c r="J29" s="39" t="s">
        <v>57</v>
      </c>
      <c r="K29" s="48">
        <f t="shared" si="7"/>
        <v>0.41666666666666669</v>
      </c>
      <c r="L29" s="41">
        <f t="shared" si="8"/>
        <v>0.52210648148148142</v>
      </c>
      <c r="M29" s="41">
        <f t="shared" si="9"/>
        <v>0.10543981481481474</v>
      </c>
      <c r="N29" s="41">
        <f t="shared" ref="N29:N34" si="31">M29*H29</f>
        <v>0.10649421296296288</v>
      </c>
      <c r="O29" s="14"/>
      <c r="P29" s="37"/>
      <c r="Q29" s="48">
        <f t="shared" si="11"/>
        <v>0.41666666666666669</v>
      </c>
      <c r="R29" s="41">
        <f t="shared" si="12"/>
        <v>0.5</v>
      </c>
      <c r="S29" s="41">
        <f t="shared" si="21"/>
        <v>8.3333333333333315E-2</v>
      </c>
      <c r="T29" s="41">
        <f t="shared" si="30"/>
        <v>8.4166666666666654E-2</v>
      </c>
      <c r="U29" s="14"/>
      <c r="V29" s="43"/>
      <c r="W29" s="85">
        <f t="shared" ref="W29:W34" si="32">TIME(10,0,0)</f>
        <v>0.41666666666666669</v>
      </c>
      <c r="X29" s="41">
        <f t="shared" si="14"/>
        <v>0.5</v>
      </c>
      <c r="Y29" s="41">
        <f t="shared" si="23"/>
        <v>8.3333333333333315E-2</v>
      </c>
      <c r="Z29" s="41">
        <f>Y29*H29</f>
        <v>8.4166666666666654E-2</v>
      </c>
      <c r="AA29" s="14"/>
      <c r="AB29" s="43"/>
      <c r="AC29" s="85">
        <f t="shared" ref="AC29:AC35" si="33">TIME(10,0,0)</f>
        <v>0.41666666666666669</v>
      </c>
      <c r="AD29" s="41">
        <f t="shared" si="16"/>
        <v>0.58333333333333337</v>
      </c>
      <c r="AE29" s="41">
        <f t="shared" ref="AE29:AE39" si="34">AD29-AC29</f>
        <v>0.16666666666666669</v>
      </c>
      <c r="AF29" s="41">
        <f t="shared" si="28"/>
        <v>0.16833333333333336</v>
      </c>
      <c r="AG29" s="14"/>
      <c r="AH29" s="43"/>
      <c r="AI29" s="48">
        <f t="shared" ref="AI29:AI35" si="35">TIME(10,0,0)</f>
        <v>0.41666666666666669</v>
      </c>
      <c r="AJ29" s="41">
        <f t="shared" ref="AJ29:AJ34" si="36">TIME(14,0,0)</f>
        <v>0.58333333333333337</v>
      </c>
      <c r="AK29" s="41">
        <f t="shared" ref="AK29:AK39" si="37">AJ29-AI29</f>
        <v>0.16666666666666669</v>
      </c>
      <c r="AL29" s="41">
        <f t="shared" ref="AL29:AL34" si="38">AK29*N29</f>
        <v>1.7749035493827149E-2</v>
      </c>
      <c r="AM29" s="14"/>
      <c r="AN29" s="43"/>
      <c r="AO29" s="74">
        <f t="shared" si="20"/>
        <v>0</v>
      </c>
      <c r="AP29" s="75"/>
    </row>
    <row r="30" spans="1:42" s="2" customFormat="1" hidden="1">
      <c r="A30" s="11" t="s">
        <v>20</v>
      </c>
      <c r="B30" s="11" t="s">
        <v>43</v>
      </c>
      <c r="C30" s="11" t="s">
        <v>22</v>
      </c>
      <c r="D30" s="11" t="s">
        <v>111</v>
      </c>
      <c r="E30" s="33"/>
      <c r="F30" s="18"/>
      <c r="G30" s="18"/>
      <c r="H30" s="18">
        <v>0.84399999999999997</v>
      </c>
      <c r="I30" s="18"/>
      <c r="J30" s="39" t="s">
        <v>80</v>
      </c>
      <c r="K30" s="48">
        <f t="shared" si="7"/>
        <v>0.41666666666666669</v>
      </c>
      <c r="L30" s="41">
        <f t="shared" si="8"/>
        <v>0.52210648148148142</v>
      </c>
      <c r="M30" s="41">
        <f t="shared" si="9"/>
        <v>0.10543981481481474</v>
      </c>
      <c r="N30" s="41">
        <f t="shared" si="31"/>
        <v>8.8991203703703628E-2</v>
      </c>
      <c r="O30" s="14"/>
      <c r="P30" s="37"/>
      <c r="Q30" s="48">
        <f t="shared" si="11"/>
        <v>0.41666666666666669</v>
      </c>
      <c r="R30" s="41">
        <f t="shared" si="12"/>
        <v>0.5</v>
      </c>
      <c r="S30" s="41">
        <f t="shared" si="21"/>
        <v>8.3333333333333315E-2</v>
      </c>
      <c r="T30" s="41">
        <f t="shared" si="30"/>
        <v>7.0333333333333317E-2</v>
      </c>
      <c r="U30" s="14"/>
      <c r="V30" s="43"/>
      <c r="W30" s="85">
        <f t="shared" si="32"/>
        <v>0.41666666666666669</v>
      </c>
      <c r="X30" s="41">
        <f t="shared" si="14"/>
        <v>0.5</v>
      </c>
      <c r="Y30" s="41">
        <f t="shared" si="23"/>
        <v>8.3333333333333315E-2</v>
      </c>
      <c r="Z30" s="41">
        <f>Y30*H30</f>
        <v>7.0333333333333317E-2</v>
      </c>
      <c r="AA30" s="14"/>
      <c r="AB30" s="43"/>
      <c r="AC30" s="85">
        <f t="shared" si="33"/>
        <v>0.41666666666666669</v>
      </c>
      <c r="AD30" s="41">
        <f t="shared" si="16"/>
        <v>0.58333333333333337</v>
      </c>
      <c r="AE30" s="41">
        <f t="shared" si="34"/>
        <v>0.16666666666666669</v>
      </c>
      <c r="AF30" s="41">
        <f t="shared" si="28"/>
        <v>0.14066666666666669</v>
      </c>
      <c r="AG30" s="14"/>
      <c r="AH30" s="43"/>
      <c r="AI30" s="48">
        <f t="shared" si="35"/>
        <v>0.41666666666666669</v>
      </c>
      <c r="AJ30" s="41">
        <f t="shared" si="36"/>
        <v>0.58333333333333337</v>
      </c>
      <c r="AK30" s="41">
        <f t="shared" si="37"/>
        <v>0.16666666666666669</v>
      </c>
      <c r="AL30" s="41">
        <f t="shared" si="38"/>
        <v>1.4831867283950606E-2</v>
      </c>
      <c r="AM30" s="14"/>
      <c r="AN30" s="43"/>
      <c r="AO30" s="74">
        <f t="shared" si="20"/>
        <v>0</v>
      </c>
      <c r="AP30" s="73"/>
    </row>
    <row r="31" spans="1:42" s="2" customFormat="1" hidden="1">
      <c r="A31" s="11" t="s">
        <v>93</v>
      </c>
      <c r="B31" s="11" t="s">
        <v>63</v>
      </c>
      <c r="C31" s="11" t="s">
        <v>156</v>
      </c>
      <c r="D31" s="11" t="s">
        <v>157</v>
      </c>
      <c r="E31" s="33" t="s">
        <v>158</v>
      </c>
      <c r="F31" s="18"/>
      <c r="G31" s="18"/>
      <c r="H31" s="18">
        <v>0.94799999999999995</v>
      </c>
      <c r="I31" s="18"/>
      <c r="J31" s="39" t="s">
        <v>57</v>
      </c>
      <c r="K31" s="48">
        <f t="shared" si="7"/>
        <v>0.41666666666666669</v>
      </c>
      <c r="L31" s="41">
        <f t="shared" si="8"/>
        <v>0.52210648148148142</v>
      </c>
      <c r="M31" s="41">
        <f t="shared" si="9"/>
        <v>0.10543981481481474</v>
      </c>
      <c r="N31" s="41">
        <f t="shared" si="31"/>
        <v>9.9956944444444362E-2</v>
      </c>
      <c r="O31" s="14"/>
      <c r="P31" s="37"/>
      <c r="Q31" s="48">
        <f t="shared" si="11"/>
        <v>0.41666666666666669</v>
      </c>
      <c r="R31" s="41">
        <f t="shared" si="12"/>
        <v>0.5</v>
      </c>
      <c r="S31" s="41">
        <f t="shared" si="21"/>
        <v>8.3333333333333315E-2</v>
      </c>
      <c r="T31" s="41">
        <f t="shared" si="30"/>
        <v>7.8999999999999973E-2</v>
      </c>
      <c r="U31" s="14"/>
      <c r="V31" s="43"/>
      <c r="W31" s="85">
        <f t="shared" si="32"/>
        <v>0.41666666666666669</v>
      </c>
      <c r="X31" s="41">
        <f t="shared" si="14"/>
        <v>0.5</v>
      </c>
      <c r="Y31" s="41">
        <f t="shared" si="23"/>
        <v>8.3333333333333315E-2</v>
      </c>
      <c r="Z31" s="41">
        <f>Y31*H31</f>
        <v>7.8999999999999973E-2</v>
      </c>
      <c r="AA31" s="14"/>
      <c r="AB31" s="43"/>
      <c r="AC31" s="85">
        <f t="shared" si="33"/>
        <v>0.41666666666666669</v>
      </c>
      <c r="AD31" s="41">
        <f t="shared" si="16"/>
        <v>0.58333333333333337</v>
      </c>
      <c r="AE31" s="41">
        <f t="shared" si="34"/>
        <v>0.16666666666666669</v>
      </c>
      <c r="AF31" s="41">
        <f t="shared" si="28"/>
        <v>0.158</v>
      </c>
      <c r="AG31" s="14"/>
      <c r="AH31" s="43"/>
      <c r="AI31" s="48">
        <f t="shared" si="35"/>
        <v>0.41666666666666669</v>
      </c>
      <c r="AJ31" s="41">
        <f t="shared" si="36"/>
        <v>0.58333333333333337</v>
      </c>
      <c r="AK31" s="41">
        <f t="shared" si="37"/>
        <v>0.16666666666666669</v>
      </c>
      <c r="AL31" s="41">
        <f t="shared" si="38"/>
        <v>1.6659490740740728E-2</v>
      </c>
      <c r="AM31" s="14"/>
      <c r="AN31" s="43"/>
      <c r="AO31" s="74">
        <f t="shared" si="20"/>
        <v>0</v>
      </c>
      <c r="AP31" s="73"/>
    </row>
    <row r="32" spans="1:42" s="2" customFormat="1">
      <c r="A32" s="11" t="s">
        <v>64</v>
      </c>
      <c r="B32" s="36" t="s">
        <v>52</v>
      </c>
      <c r="C32" s="11" t="s">
        <v>53</v>
      </c>
      <c r="D32" s="11" t="s">
        <v>127</v>
      </c>
      <c r="E32" s="33" t="s">
        <v>84</v>
      </c>
      <c r="F32" s="18"/>
      <c r="G32" s="18"/>
      <c r="H32" s="18">
        <v>0.78700000000000003</v>
      </c>
      <c r="I32" s="18"/>
      <c r="J32" s="39" t="s">
        <v>57</v>
      </c>
      <c r="K32" s="48">
        <f t="shared" si="7"/>
        <v>0.41666666666666669</v>
      </c>
      <c r="L32" s="41">
        <f>TIME(13,19,0)</f>
        <v>0.55486111111111114</v>
      </c>
      <c r="M32" s="41">
        <f t="shared" si="9"/>
        <v>0.13819444444444445</v>
      </c>
      <c r="N32" s="41">
        <f t="shared" si="31"/>
        <v>0.10875902777777779</v>
      </c>
      <c r="O32" s="14">
        <v>6</v>
      </c>
      <c r="P32" s="37">
        <v>6</v>
      </c>
      <c r="Q32" s="55" t="s">
        <v>174</v>
      </c>
      <c r="R32" s="56" t="s">
        <v>174</v>
      </c>
      <c r="S32" s="56" t="s">
        <v>174</v>
      </c>
      <c r="T32" s="56" t="s">
        <v>174</v>
      </c>
      <c r="U32" s="88" t="s">
        <v>174</v>
      </c>
      <c r="V32" s="50">
        <v>9</v>
      </c>
      <c r="W32" s="85">
        <f t="shared" si="32"/>
        <v>0.41666666666666669</v>
      </c>
      <c r="X32" s="41">
        <f>TIME(12,23,16)</f>
        <v>0.51615740740740745</v>
      </c>
      <c r="Y32" s="41">
        <f>X32-W32</f>
        <v>9.9490740740740768E-2</v>
      </c>
      <c r="Z32" s="56">
        <f>Y32*H32</f>
        <v>7.8299212962962994E-2</v>
      </c>
      <c r="AA32" s="66">
        <v>6</v>
      </c>
      <c r="AB32" s="43">
        <v>6</v>
      </c>
      <c r="AC32" s="85">
        <f>TIME(10,0,0)</f>
        <v>0.41666666666666669</v>
      </c>
      <c r="AD32" s="41">
        <f>TIME(12,42,5)</f>
        <v>0.52922453703703709</v>
      </c>
      <c r="AE32" s="41">
        <f t="shared" si="34"/>
        <v>0.11255787037037041</v>
      </c>
      <c r="AF32" s="41">
        <f t="shared" si="28"/>
        <v>8.8583043981481507E-2</v>
      </c>
      <c r="AG32" s="66">
        <v>6</v>
      </c>
      <c r="AH32" s="43">
        <v>6</v>
      </c>
      <c r="AI32" s="48">
        <f>TIME(10,0,0)</f>
        <v>0.41666666666666669</v>
      </c>
      <c r="AJ32" s="89" t="s">
        <v>174</v>
      </c>
      <c r="AK32" s="89" t="s">
        <v>174</v>
      </c>
      <c r="AL32" s="89" t="s">
        <v>174</v>
      </c>
      <c r="AM32" s="66" t="s">
        <v>174</v>
      </c>
      <c r="AN32" s="75">
        <v>0</v>
      </c>
      <c r="AO32" s="74">
        <f t="shared" si="20"/>
        <v>27</v>
      </c>
      <c r="AP32" s="75">
        <v>7</v>
      </c>
    </row>
    <row r="33" spans="1:42" s="1" customFormat="1">
      <c r="A33" s="11" t="s">
        <v>58</v>
      </c>
      <c r="B33" s="36" t="s">
        <v>56</v>
      </c>
      <c r="C33" s="11" t="s">
        <v>60</v>
      </c>
      <c r="D33" s="11" t="s">
        <v>141</v>
      </c>
      <c r="E33" s="33" t="s">
        <v>81</v>
      </c>
      <c r="F33" s="18"/>
      <c r="G33" s="18"/>
      <c r="H33" s="18">
        <v>0.77700000000000002</v>
      </c>
      <c r="I33" s="18"/>
      <c r="J33" s="39" t="s">
        <v>57</v>
      </c>
      <c r="K33" s="48">
        <f t="shared" si="7"/>
        <v>0.41666666666666669</v>
      </c>
      <c r="L33" s="41">
        <f>TIME(13,14,58)</f>
        <v>0.55206018518518518</v>
      </c>
      <c r="M33" s="41">
        <f t="shared" si="9"/>
        <v>0.1353935185185185</v>
      </c>
      <c r="N33" s="41">
        <f t="shared" si="31"/>
        <v>0.10520076388888888</v>
      </c>
      <c r="O33" s="14">
        <v>5</v>
      </c>
      <c r="P33" s="37">
        <v>5</v>
      </c>
      <c r="Q33" s="48">
        <f t="shared" si="11"/>
        <v>0.41666666666666669</v>
      </c>
      <c r="R33" s="41">
        <f>TIME(13,19,35)</f>
        <v>0.55526620370370372</v>
      </c>
      <c r="S33" s="41">
        <f t="shared" si="21"/>
        <v>0.13859953703703703</v>
      </c>
      <c r="T33" s="41">
        <f t="shared" si="30"/>
        <v>0.10769184027777778</v>
      </c>
      <c r="U33" s="14">
        <v>6</v>
      </c>
      <c r="V33" s="43">
        <v>6</v>
      </c>
      <c r="W33" s="85">
        <f t="shared" si="32"/>
        <v>0.41666666666666669</v>
      </c>
      <c r="X33" s="41">
        <f>TIME(12,23,25)</f>
        <v>0.51626157407407403</v>
      </c>
      <c r="Y33" s="41">
        <f t="shared" ref="Y33:Y39" si="39">X33-W33</f>
        <v>9.959490740740734E-2</v>
      </c>
      <c r="Z33" s="41">
        <f>Y33*H33</f>
        <v>7.7385243055555511E-2</v>
      </c>
      <c r="AA33" s="14">
        <v>5</v>
      </c>
      <c r="AB33" s="43">
        <v>5</v>
      </c>
      <c r="AC33" s="85">
        <f>TIME(10,0,0)</f>
        <v>0.41666666666666669</v>
      </c>
      <c r="AD33" s="41">
        <f>TIME(12,54,30)</f>
        <v>0.53784722222222225</v>
      </c>
      <c r="AE33" s="41">
        <f t="shared" si="34"/>
        <v>0.12118055555555557</v>
      </c>
      <c r="AF33" s="41">
        <f t="shared" si="28"/>
        <v>9.4157291666666684E-2</v>
      </c>
      <c r="AG33" s="14">
        <v>7</v>
      </c>
      <c r="AH33" s="75">
        <v>0</v>
      </c>
      <c r="AI33" s="48">
        <f>TIME(10,0,0)</f>
        <v>0.41666666666666669</v>
      </c>
      <c r="AJ33" s="41">
        <f>TIME(11,4,52)</f>
        <v>0.46171296296296299</v>
      </c>
      <c r="AK33" s="41">
        <f t="shared" si="37"/>
        <v>4.5046296296296306E-2</v>
      </c>
      <c r="AL33" s="41">
        <f>AK33*H33</f>
        <v>3.5000972222222232E-2</v>
      </c>
      <c r="AM33" s="14">
        <v>2</v>
      </c>
      <c r="AN33" s="43">
        <v>2</v>
      </c>
      <c r="AO33" s="74">
        <f t="shared" si="20"/>
        <v>18</v>
      </c>
      <c r="AP33" s="75" t="s">
        <v>187</v>
      </c>
    </row>
    <row r="34" spans="1:42" s="1" customFormat="1" hidden="1">
      <c r="A34" s="11" t="s">
        <v>68</v>
      </c>
      <c r="B34" s="36" t="s">
        <v>165</v>
      </c>
      <c r="C34" s="11" t="s">
        <v>166</v>
      </c>
      <c r="D34" s="11" t="s">
        <v>167</v>
      </c>
      <c r="E34" s="33"/>
      <c r="F34" s="18"/>
      <c r="G34" s="18"/>
      <c r="H34" s="18">
        <v>0.874</v>
      </c>
      <c r="I34" s="18">
        <v>0.85399999999999998</v>
      </c>
      <c r="J34" s="39" t="s">
        <v>80</v>
      </c>
      <c r="K34" s="48">
        <f t="shared" si="7"/>
        <v>0.41666666666666669</v>
      </c>
      <c r="L34" s="41">
        <f t="shared" si="8"/>
        <v>0.52210648148148142</v>
      </c>
      <c r="M34" s="41">
        <f t="shared" si="9"/>
        <v>0.10543981481481474</v>
      </c>
      <c r="N34" s="41">
        <f t="shared" si="31"/>
        <v>9.2154398148148076E-2</v>
      </c>
      <c r="O34" s="14"/>
      <c r="P34" s="37"/>
      <c r="Q34" s="48">
        <f t="shared" si="11"/>
        <v>0.41666666666666669</v>
      </c>
      <c r="R34" s="41">
        <f>TIME(12,41,12)</f>
        <v>0.52861111111111114</v>
      </c>
      <c r="S34" s="41">
        <f t="shared" si="21"/>
        <v>0.11194444444444446</v>
      </c>
      <c r="T34" s="41">
        <f t="shared" si="13"/>
        <v>0</v>
      </c>
      <c r="U34" s="14"/>
      <c r="V34" s="43"/>
      <c r="W34" s="85">
        <f t="shared" si="32"/>
        <v>0.41666666666666669</v>
      </c>
      <c r="X34" s="41">
        <f t="shared" si="14"/>
        <v>0.5</v>
      </c>
      <c r="Y34" s="41">
        <f t="shared" si="39"/>
        <v>8.3333333333333315E-2</v>
      </c>
      <c r="Z34" s="41">
        <f t="shared" si="15"/>
        <v>0</v>
      </c>
      <c r="AA34" s="14"/>
      <c r="AB34" s="43"/>
      <c r="AC34" s="85">
        <f t="shared" si="33"/>
        <v>0.41666666666666669</v>
      </c>
      <c r="AD34" s="41">
        <f t="shared" si="16"/>
        <v>0.58333333333333337</v>
      </c>
      <c r="AE34" s="41">
        <f t="shared" si="34"/>
        <v>0.16666666666666669</v>
      </c>
      <c r="AF34" s="41">
        <f t="shared" si="28"/>
        <v>0.14566666666666669</v>
      </c>
      <c r="AG34" s="14"/>
      <c r="AH34" s="43"/>
      <c r="AI34" s="48">
        <f t="shared" si="35"/>
        <v>0.41666666666666669</v>
      </c>
      <c r="AJ34" s="41">
        <f t="shared" si="36"/>
        <v>0.58333333333333337</v>
      </c>
      <c r="AK34" s="41">
        <f t="shared" si="37"/>
        <v>0.16666666666666669</v>
      </c>
      <c r="AL34" s="41">
        <f t="shared" si="38"/>
        <v>1.535906635802468E-2</v>
      </c>
      <c r="AM34" s="14"/>
      <c r="AN34" s="43"/>
      <c r="AO34" s="74">
        <f t="shared" si="20"/>
        <v>0</v>
      </c>
      <c r="AP34" s="75"/>
    </row>
    <row r="35" spans="1:42" s="2" customFormat="1">
      <c r="A35" s="11" t="s">
        <v>6</v>
      </c>
      <c r="B35" s="11" t="s">
        <v>7</v>
      </c>
      <c r="C35" s="11" t="s">
        <v>9</v>
      </c>
      <c r="D35" s="11" t="s">
        <v>142</v>
      </c>
      <c r="E35" s="33" t="s">
        <v>77</v>
      </c>
      <c r="F35" s="18"/>
      <c r="G35" s="18"/>
      <c r="H35" s="31">
        <v>0.93799999999999994</v>
      </c>
      <c r="I35" s="18">
        <v>0.9</v>
      </c>
      <c r="J35" s="39" t="s">
        <v>57</v>
      </c>
      <c r="K35" s="48">
        <f t="shared" si="7"/>
        <v>0.41666666666666669</v>
      </c>
      <c r="L35" s="41">
        <f>TIME(13,2,13)</f>
        <v>0.54320601851851846</v>
      </c>
      <c r="M35" s="41">
        <f t="shared" si="9"/>
        <v>0.12653935185185178</v>
      </c>
      <c r="N35" s="41">
        <f>M35*I35</f>
        <v>0.1138854166666666</v>
      </c>
      <c r="O35" s="14">
        <v>7</v>
      </c>
      <c r="P35" s="37">
        <v>7</v>
      </c>
      <c r="Q35" s="48">
        <f t="shared" si="11"/>
        <v>0.41666666666666669</v>
      </c>
      <c r="R35" s="41">
        <f>TIME(12,41,12)</f>
        <v>0.52861111111111114</v>
      </c>
      <c r="S35" s="41">
        <f t="shared" si="21"/>
        <v>0.11194444444444446</v>
      </c>
      <c r="T35" s="41">
        <f>S35*I35</f>
        <v>0.10075000000000002</v>
      </c>
      <c r="U35" s="14">
        <v>3</v>
      </c>
      <c r="V35" s="43">
        <v>3</v>
      </c>
      <c r="W35" s="86" t="s">
        <v>174</v>
      </c>
      <c r="X35" s="56" t="s">
        <v>174</v>
      </c>
      <c r="Y35" s="56" t="s">
        <v>174</v>
      </c>
      <c r="Z35" s="56" t="s">
        <v>174</v>
      </c>
      <c r="AA35" s="88" t="s">
        <v>174</v>
      </c>
      <c r="AB35" s="50">
        <v>9</v>
      </c>
      <c r="AC35" s="85">
        <f t="shared" si="33"/>
        <v>0.41666666666666669</v>
      </c>
      <c r="AD35" s="41">
        <f>TIME(12,4,40)</f>
        <v>0.50324074074074077</v>
      </c>
      <c r="AE35" s="41">
        <f t="shared" si="34"/>
        <v>8.6574074074074081E-2</v>
      </c>
      <c r="AF35" s="41">
        <f>AE35*I35</f>
        <v>7.7916666666666676E-2</v>
      </c>
      <c r="AG35" s="67">
        <v>4</v>
      </c>
      <c r="AH35" s="43">
        <v>4</v>
      </c>
      <c r="AI35" s="48">
        <f t="shared" si="35"/>
        <v>0.41666666666666669</v>
      </c>
      <c r="AJ35" s="89" t="s">
        <v>174</v>
      </c>
      <c r="AK35" s="89" t="s">
        <v>174</v>
      </c>
      <c r="AL35" s="89" t="s">
        <v>174</v>
      </c>
      <c r="AM35" s="66" t="s">
        <v>174</v>
      </c>
      <c r="AN35" s="75">
        <v>0</v>
      </c>
      <c r="AO35" s="74">
        <f t="shared" si="20"/>
        <v>23</v>
      </c>
      <c r="AP35" s="75">
        <v>6</v>
      </c>
    </row>
    <row r="36" spans="1:42" s="1" customFormat="1" ht="14.7" thickBot="1">
      <c r="A36" s="11" t="s">
        <v>27</v>
      </c>
      <c r="B36" s="11" t="s">
        <v>37</v>
      </c>
      <c r="C36" s="11" t="s">
        <v>10</v>
      </c>
      <c r="D36" s="11" t="s">
        <v>140</v>
      </c>
      <c r="E36" s="33" t="s">
        <v>99</v>
      </c>
      <c r="F36" s="18"/>
      <c r="G36" s="18"/>
      <c r="H36" s="31">
        <v>0.94899999999999995</v>
      </c>
      <c r="I36" s="18">
        <v>0.91100000000000003</v>
      </c>
      <c r="J36" s="39" t="s">
        <v>57</v>
      </c>
      <c r="K36" s="51">
        <f t="shared" si="7"/>
        <v>0.41666666666666669</v>
      </c>
      <c r="L36" s="52">
        <f>TIME(12,43,27)</f>
        <v>0.53017361111111116</v>
      </c>
      <c r="M36" s="52">
        <f t="shared" si="9"/>
        <v>0.11350694444444448</v>
      </c>
      <c r="N36" s="52">
        <f>M36*I36</f>
        <v>0.10340482638888893</v>
      </c>
      <c r="O36" s="53">
        <v>2</v>
      </c>
      <c r="P36" s="81">
        <v>2</v>
      </c>
      <c r="Q36" s="51">
        <f t="shared" si="11"/>
        <v>0.41666666666666669</v>
      </c>
      <c r="R36" s="52">
        <f>TIME(12,37,51)</f>
        <v>0.52628472222222222</v>
      </c>
      <c r="S36" s="52">
        <f t="shared" si="21"/>
        <v>0.10961805555555554</v>
      </c>
      <c r="T36" s="52">
        <f>S36*I36</f>
        <v>9.9862048611111101E-2</v>
      </c>
      <c r="U36" s="53">
        <v>2</v>
      </c>
      <c r="V36" s="54">
        <v>2</v>
      </c>
      <c r="W36" s="87">
        <f>TIME(10,0,0)</f>
        <v>0.41666666666666669</v>
      </c>
      <c r="X36" s="52">
        <f>TIME(11,50,47)</f>
        <v>0.49359953703703702</v>
      </c>
      <c r="Y36" s="52">
        <f t="shared" si="39"/>
        <v>7.6932870370370332E-2</v>
      </c>
      <c r="Z36" s="52">
        <f>Y36*I36</f>
        <v>7.008584490740738E-2</v>
      </c>
      <c r="AA36" s="53">
        <v>3</v>
      </c>
      <c r="AB36" s="54">
        <v>3</v>
      </c>
      <c r="AC36" s="87">
        <f>TIME(10,0,0)</f>
        <v>0.41666666666666669</v>
      </c>
      <c r="AD36" s="52">
        <f>TIME(11,55,28)</f>
        <v>0.49685185185185188</v>
      </c>
      <c r="AE36" s="52">
        <f t="shared" si="34"/>
        <v>8.0185185185185193E-2</v>
      </c>
      <c r="AF36" s="52">
        <f>AE36*I36</f>
        <v>7.3048703703703713E-2</v>
      </c>
      <c r="AG36" s="53">
        <v>3</v>
      </c>
      <c r="AH36" s="91">
        <v>3</v>
      </c>
      <c r="AI36" s="51">
        <f>TIME(10,0,0)</f>
        <v>0.41666666666666669</v>
      </c>
      <c r="AJ36" s="52">
        <f>TIME(10,57,19)</f>
        <v>0.45646990740740739</v>
      </c>
      <c r="AK36" s="52">
        <f t="shared" si="37"/>
        <v>3.9803240740740709E-2</v>
      </c>
      <c r="AL36" s="52">
        <f>AK36*I36</f>
        <v>3.6260752314814786E-2</v>
      </c>
      <c r="AM36" s="53">
        <v>3</v>
      </c>
      <c r="AN36" s="76">
        <v>0</v>
      </c>
      <c r="AO36" s="78">
        <f t="shared" si="20"/>
        <v>10</v>
      </c>
      <c r="AP36" s="76">
        <v>2</v>
      </c>
    </row>
    <row r="37" spans="1:42" s="2" customFormat="1" hidden="1">
      <c r="A37" s="2" t="s">
        <v>67</v>
      </c>
      <c r="B37" s="2" t="s">
        <v>16</v>
      </c>
      <c r="C37" s="2" t="s">
        <v>116</v>
      </c>
      <c r="D37" s="2" t="s">
        <v>149</v>
      </c>
      <c r="E37" s="21"/>
      <c r="F37" s="12"/>
      <c r="G37" s="12"/>
      <c r="H37" s="20"/>
      <c r="I37" s="6">
        <v>1.026</v>
      </c>
      <c r="J37" s="12" t="s">
        <v>80</v>
      </c>
      <c r="M37" s="28">
        <f t="shared" si="9"/>
        <v>0</v>
      </c>
      <c r="O37" s="12"/>
      <c r="P37" s="12"/>
      <c r="S37" s="28">
        <f t="shared" si="21"/>
        <v>0</v>
      </c>
      <c r="U37" s="12"/>
      <c r="V37" s="12"/>
      <c r="Y37" s="28">
        <f t="shared" si="39"/>
        <v>0</v>
      </c>
      <c r="AA37" s="12"/>
      <c r="AB37" s="12"/>
      <c r="AE37" s="28">
        <f t="shared" si="34"/>
        <v>0</v>
      </c>
      <c r="AG37" s="12"/>
      <c r="AH37" s="12"/>
      <c r="AK37" s="28">
        <f t="shared" si="37"/>
        <v>0</v>
      </c>
      <c r="AM37" s="12"/>
      <c r="AN37" s="12"/>
      <c r="AO37" s="20"/>
      <c r="AP37" s="20"/>
    </row>
    <row r="38" spans="1:42" s="3" customFormat="1" hidden="1">
      <c r="A38" s="3" t="s">
        <v>18</v>
      </c>
      <c r="B38" s="3" t="s">
        <v>19</v>
      </c>
      <c r="C38" s="3" t="s">
        <v>69</v>
      </c>
      <c r="D38" s="3" t="s">
        <v>141</v>
      </c>
      <c r="E38" s="19" t="s">
        <v>148</v>
      </c>
      <c r="F38" s="6"/>
      <c r="G38" s="6"/>
      <c r="H38" s="6">
        <v>0.77700000000000002</v>
      </c>
      <c r="I38" s="20"/>
      <c r="J38" s="6" t="s">
        <v>57</v>
      </c>
      <c r="M38" s="28">
        <f t="shared" si="9"/>
        <v>0</v>
      </c>
      <c r="O38" s="6"/>
      <c r="P38" s="6"/>
      <c r="S38" s="28">
        <f t="shared" si="21"/>
        <v>0</v>
      </c>
      <c r="U38" s="6"/>
      <c r="V38" s="6"/>
      <c r="Y38" s="28">
        <f t="shared" si="39"/>
        <v>0</v>
      </c>
      <c r="AA38" s="6"/>
      <c r="AB38" s="6"/>
      <c r="AE38" s="28">
        <f t="shared" si="34"/>
        <v>0</v>
      </c>
      <c r="AG38" s="6"/>
      <c r="AH38" s="6"/>
      <c r="AK38" s="28">
        <f t="shared" si="37"/>
        <v>0</v>
      </c>
      <c r="AM38" s="6"/>
      <c r="AN38" s="6"/>
      <c r="AO38" s="20"/>
      <c r="AP38" s="20"/>
    </row>
    <row r="39" spans="1:42" s="2" customFormat="1" hidden="1">
      <c r="A39" s="2" t="s">
        <v>112</v>
      </c>
      <c r="B39" s="2" t="s">
        <v>113</v>
      </c>
      <c r="C39" s="2" t="s">
        <v>114</v>
      </c>
      <c r="D39" s="2" t="s">
        <v>147</v>
      </c>
      <c r="E39" s="8"/>
      <c r="F39" s="12"/>
      <c r="G39" s="12"/>
      <c r="H39" s="6">
        <v>1.0660000000000001</v>
      </c>
      <c r="I39" s="20"/>
      <c r="J39" s="12" t="s">
        <v>80</v>
      </c>
      <c r="M39" s="28">
        <f t="shared" si="9"/>
        <v>0</v>
      </c>
      <c r="O39" s="12"/>
      <c r="P39" s="12"/>
      <c r="S39" s="28">
        <f t="shared" si="21"/>
        <v>0</v>
      </c>
      <c r="U39" s="12"/>
      <c r="V39" s="12"/>
      <c r="Y39" s="28">
        <f t="shared" si="39"/>
        <v>0</v>
      </c>
      <c r="AA39" s="12"/>
      <c r="AB39" s="12"/>
      <c r="AE39" s="28">
        <f t="shared" si="34"/>
        <v>0</v>
      </c>
      <c r="AG39" s="12"/>
      <c r="AH39" s="12"/>
      <c r="AK39" s="28">
        <f t="shared" si="37"/>
        <v>0</v>
      </c>
      <c r="AM39" s="12"/>
      <c r="AN39" s="12"/>
      <c r="AO39" s="20"/>
      <c r="AP39" s="20"/>
    </row>
    <row r="40" spans="1:42">
      <c r="K40" t="s">
        <v>178</v>
      </c>
      <c r="Q40" t="s">
        <v>176</v>
      </c>
      <c r="W40" t="s">
        <v>177</v>
      </c>
      <c r="AC40" t="s">
        <v>183</v>
      </c>
      <c r="AI40" t="s">
        <v>183</v>
      </c>
      <c r="AM40" s="5"/>
      <c r="AN40" s="5"/>
    </row>
  </sheetData>
  <mergeCells count="5">
    <mergeCell ref="K2:P2"/>
    <mergeCell ref="Q2:V2"/>
    <mergeCell ref="W2:AB2"/>
    <mergeCell ref="AC2:AH2"/>
    <mergeCell ref="AI2:AN2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workbookViewId="0"/>
  </sheetViews>
  <sheetFormatPr defaultRowHeight="14.4"/>
  <cols>
    <col min="1" max="1" width="14.68359375" customWidth="1"/>
    <col min="2" max="2" width="11.68359375" customWidth="1"/>
    <col min="3" max="3" width="13" customWidth="1"/>
    <col min="4" max="4" width="19.26171875" customWidth="1"/>
    <col min="5" max="5" width="11.83984375" customWidth="1"/>
    <col min="6" max="9" width="0" hidden="1" customWidth="1"/>
    <col min="10" max="10" width="10.68359375" customWidth="1"/>
    <col min="15" max="15" width="8.83984375" style="65" customWidth="1"/>
  </cols>
  <sheetData>
    <row r="1" spans="1:17" s="24" customFormat="1" ht="18.600000000000001" thickBot="1">
      <c r="A1" s="24" t="s">
        <v>180</v>
      </c>
      <c r="E1" s="25"/>
      <c r="F1" s="26"/>
      <c r="G1" s="26"/>
      <c r="H1" s="26"/>
      <c r="I1" s="26"/>
      <c r="J1" s="26"/>
      <c r="O1" s="26"/>
    </row>
    <row r="2" spans="1:17" ht="14.7" thickBot="1">
      <c r="E2" s="7"/>
      <c r="F2" s="5"/>
      <c r="G2" s="5"/>
      <c r="H2" s="5"/>
      <c r="I2" s="5"/>
      <c r="J2" s="5"/>
      <c r="K2" s="166" t="s">
        <v>181</v>
      </c>
      <c r="L2" s="167"/>
      <c r="M2" s="167"/>
      <c r="N2" s="167"/>
      <c r="O2" s="167"/>
    </row>
    <row r="3" spans="1:17" s="1" customFormat="1" ht="28.8">
      <c r="A3" s="10" t="s">
        <v>0</v>
      </c>
      <c r="B3" s="10" t="s">
        <v>1</v>
      </c>
      <c r="C3" s="10" t="s">
        <v>8</v>
      </c>
      <c r="D3" s="10" t="s">
        <v>110</v>
      </c>
      <c r="E3" s="23" t="s">
        <v>76</v>
      </c>
      <c r="F3" s="14" t="s">
        <v>75</v>
      </c>
      <c r="G3" s="14" t="s">
        <v>168</v>
      </c>
      <c r="H3" s="14" t="s">
        <v>73</v>
      </c>
      <c r="I3" s="14" t="s">
        <v>74</v>
      </c>
      <c r="J3" s="57" t="s">
        <v>182</v>
      </c>
      <c r="K3" s="61" t="s">
        <v>103</v>
      </c>
      <c r="L3" s="62" t="s">
        <v>104</v>
      </c>
      <c r="M3" s="62" t="s">
        <v>105</v>
      </c>
      <c r="N3" s="62" t="s">
        <v>170</v>
      </c>
      <c r="O3" s="64" t="s">
        <v>106</v>
      </c>
    </row>
    <row r="4" spans="1:17" s="3" customFormat="1" hidden="1">
      <c r="A4" s="11" t="s">
        <v>92</v>
      </c>
      <c r="B4" s="11" t="s">
        <v>86</v>
      </c>
      <c r="C4" s="11" t="s">
        <v>87</v>
      </c>
      <c r="D4" s="11" t="s">
        <v>160</v>
      </c>
      <c r="E4" s="11" t="s">
        <v>100</v>
      </c>
      <c r="F4" s="27">
        <v>0.91700000000000004</v>
      </c>
      <c r="G4" s="27"/>
      <c r="H4" s="18">
        <v>0.95599999999999996</v>
      </c>
      <c r="I4" s="11"/>
      <c r="J4" s="39" t="s">
        <v>57</v>
      </c>
      <c r="K4" s="46"/>
      <c r="L4" s="11"/>
      <c r="M4" s="11"/>
      <c r="N4" s="11"/>
      <c r="O4" s="17"/>
    </row>
    <row r="5" spans="1:17" s="3" customFormat="1">
      <c r="A5" s="11" t="s">
        <v>92</v>
      </c>
      <c r="B5" s="11" t="s">
        <v>86</v>
      </c>
      <c r="C5" s="11" t="s">
        <v>87</v>
      </c>
      <c r="D5" s="11" t="s">
        <v>160</v>
      </c>
      <c r="E5" s="11" t="s">
        <v>100</v>
      </c>
      <c r="F5" s="58">
        <v>0.91700000000000004</v>
      </c>
      <c r="G5" s="58"/>
      <c r="H5" s="58">
        <v>0.95599999999999996</v>
      </c>
      <c r="I5" s="60"/>
      <c r="J5" s="39">
        <v>0.95599999999999996</v>
      </c>
      <c r="K5" s="48">
        <f>TIME(10,0,0)</f>
        <v>0.41666666666666669</v>
      </c>
      <c r="L5" s="41">
        <f>TIME(11,43,30)</f>
        <v>0.48854166666666665</v>
      </c>
      <c r="M5" s="41">
        <f>L5-K5</f>
        <v>7.1874999999999967E-2</v>
      </c>
      <c r="N5" s="41">
        <f>M5*J5</f>
        <v>6.8712499999999968E-2</v>
      </c>
      <c r="O5" s="17">
        <v>7</v>
      </c>
    </row>
    <row r="6" spans="1:17" s="1" customFormat="1">
      <c r="A6" s="11" t="s">
        <v>21</v>
      </c>
      <c r="B6" s="13" t="s">
        <v>36</v>
      </c>
      <c r="C6" s="13" t="s">
        <v>32</v>
      </c>
      <c r="D6" s="13" t="s">
        <v>125</v>
      </c>
      <c r="E6" s="30" t="s">
        <v>83</v>
      </c>
      <c r="F6" s="58">
        <v>0.86699999999999999</v>
      </c>
      <c r="G6" s="58">
        <v>0.85599999999999998</v>
      </c>
      <c r="H6" s="58">
        <v>0.88900000000000001</v>
      </c>
      <c r="I6" s="58"/>
      <c r="J6" s="40">
        <v>0.90300000000000002</v>
      </c>
      <c r="K6" s="48">
        <f>TIME(10,0,0)</f>
        <v>0.41666666666666669</v>
      </c>
      <c r="L6" s="41">
        <f>TIME(11,48,12)</f>
        <v>0.49180555555555555</v>
      </c>
      <c r="M6" s="41">
        <f>L6-K6</f>
        <v>7.5138888888888866E-2</v>
      </c>
      <c r="N6" s="41">
        <f>M6*J6</f>
        <v>6.7850416666666649E-2</v>
      </c>
      <c r="O6" s="14">
        <v>6</v>
      </c>
    </row>
    <row r="7" spans="1:17" s="2" customFormat="1" hidden="1">
      <c r="A7" s="11" t="s">
        <v>70</v>
      </c>
      <c r="B7" s="13" t="s">
        <v>71</v>
      </c>
      <c r="C7" s="13" t="s">
        <v>144</v>
      </c>
      <c r="D7" s="13" t="s">
        <v>72</v>
      </c>
      <c r="E7" s="30" t="s">
        <v>145</v>
      </c>
      <c r="F7" s="58">
        <v>1.07</v>
      </c>
      <c r="G7" s="58">
        <v>1.054</v>
      </c>
      <c r="H7" s="58">
        <v>1.115</v>
      </c>
      <c r="I7" s="58">
        <v>1.0780000000000001</v>
      </c>
      <c r="J7" s="40"/>
      <c r="K7" s="48">
        <f>TIME(10,0,0)</f>
        <v>0.41666666666666669</v>
      </c>
      <c r="L7" s="41">
        <f>TIME(14,0,0)</f>
        <v>0.58333333333333337</v>
      </c>
      <c r="M7" s="41">
        <f>L7-K7</f>
        <v>0.16666666666666669</v>
      </c>
      <c r="N7" s="41">
        <f>M7*J7</f>
        <v>0</v>
      </c>
      <c r="O7" s="14"/>
    </row>
    <row r="8" spans="1:17" s="2" customFormat="1" hidden="1">
      <c r="A8" s="11" t="s">
        <v>67</v>
      </c>
      <c r="B8" s="13" t="s">
        <v>107</v>
      </c>
      <c r="C8" s="33" t="s">
        <v>108</v>
      </c>
      <c r="D8" s="13" t="s">
        <v>126</v>
      </c>
      <c r="E8" s="18">
        <v>545</v>
      </c>
      <c r="F8" s="58">
        <v>0.85899999999999999</v>
      </c>
      <c r="G8" s="58"/>
      <c r="H8" s="58">
        <v>0.85899999999999999</v>
      </c>
      <c r="I8" s="58"/>
      <c r="J8" s="40"/>
      <c r="K8" s="48">
        <f>TIME(10,0,0)</f>
        <v>0.41666666666666669</v>
      </c>
      <c r="L8" s="41">
        <f>TIME(14,0,0)</f>
        <v>0.58333333333333337</v>
      </c>
      <c r="M8" s="41">
        <f>L8-K8</f>
        <v>0.16666666666666669</v>
      </c>
      <c r="N8" s="41">
        <f>M8*J8</f>
        <v>0</v>
      </c>
      <c r="O8" s="14"/>
    </row>
    <row r="9" spans="1:17" s="2" customFormat="1">
      <c r="A9" s="13" t="s">
        <v>67</v>
      </c>
      <c r="B9" s="13" t="s">
        <v>107</v>
      </c>
      <c r="C9" s="33" t="s">
        <v>108</v>
      </c>
      <c r="D9" s="13" t="s">
        <v>126</v>
      </c>
      <c r="E9" s="18">
        <v>545</v>
      </c>
      <c r="F9" s="58">
        <v>0.85899999999999999</v>
      </c>
      <c r="G9" s="58"/>
      <c r="H9" s="58">
        <v>0.85899999999999999</v>
      </c>
      <c r="I9" s="58"/>
      <c r="J9" s="40">
        <v>0.85899999999999999</v>
      </c>
      <c r="K9" s="48">
        <f>TIME(10,0,0)</f>
        <v>0.41666666666666669</v>
      </c>
      <c r="L9" s="63">
        <f>TIME(12,12,0)</f>
        <v>0.5083333333333333</v>
      </c>
      <c r="M9" s="41">
        <f>L9-K9</f>
        <v>9.1666666666666619E-2</v>
      </c>
      <c r="N9" s="41">
        <f>M9*J9</f>
        <v>7.8741666666666627E-2</v>
      </c>
      <c r="O9" s="14">
        <v>16</v>
      </c>
      <c r="P9" s="3"/>
      <c r="Q9" s="3"/>
    </row>
    <row r="10" spans="1:17" s="1" customFormat="1">
      <c r="A10" s="11" t="s">
        <v>4</v>
      </c>
      <c r="B10" s="13" t="s">
        <v>5</v>
      </c>
      <c r="C10" s="13" t="s">
        <v>11</v>
      </c>
      <c r="D10" s="13" t="s">
        <v>128</v>
      </c>
      <c r="E10" s="32">
        <v>185</v>
      </c>
      <c r="F10" s="58">
        <v>0.93600000000000005</v>
      </c>
      <c r="G10" s="58">
        <v>0.92400000000000004</v>
      </c>
      <c r="H10" s="58">
        <v>0.94099999999999995</v>
      </c>
      <c r="I10" s="58"/>
      <c r="J10" s="40">
        <v>0.82940000000000003</v>
      </c>
      <c r="K10" s="48">
        <f t="shared" ref="K10:K35" si="0">TIME(10,0,0)</f>
        <v>0.41666666666666669</v>
      </c>
      <c r="L10" s="41">
        <f>TIME(12,2,58)</f>
        <v>0.50206018518518525</v>
      </c>
      <c r="M10" s="41">
        <f t="shared" ref="M10:M35" si="1">L10-K10</f>
        <v>8.5393518518518563E-2</v>
      </c>
      <c r="N10" s="41">
        <f t="shared" ref="N10:N35" si="2">M10*J10</f>
        <v>7.08253842592593E-2</v>
      </c>
      <c r="O10" s="14">
        <v>12</v>
      </c>
    </row>
    <row r="11" spans="1:17" s="1" customFormat="1">
      <c r="A11" s="11" t="s">
        <v>12</v>
      </c>
      <c r="B11" s="13" t="s">
        <v>13</v>
      </c>
      <c r="C11" s="13" t="s">
        <v>23</v>
      </c>
      <c r="D11" s="13" t="s">
        <v>129</v>
      </c>
      <c r="E11" s="30" t="s">
        <v>79</v>
      </c>
      <c r="F11" s="58">
        <v>0.874</v>
      </c>
      <c r="G11" s="58">
        <v>0.86499999999999999</v>
      </c>
      <c r="H11" s="58">
        <v>0.89600000000000002</v>
      </c>
      <c r="I11" s="58"/>
      <c r="J11" s="40">
        <v>0.89239999999999997</v>
      </c>
      <c r="K11" s="48">
        <f t="shared" si="0"/>
        <v>0.41666666666666669</v>
      </c>
      <c r="L11" s="41">
        <f>TIME(11,41,43)</f>
        <v>0.48730324074074072</v>
      </c>
      <c r="M11" s="41">
        <f t="shared" si="1"/>
        <v>7.0636574074074032E-2</v>
      </c>
      <c r="N11" s="41">
        <f t="shared" si="2"/>
        <v>6.303607870370366E-2</v>
      </c>
      <c r="O11" s="14">
        <v>2</v>
      </c>
    </row>
    <row r="12" spans="1:17" s="1" customFormat="1">
      <c r="A12" s="11" t="s">
        <v>152</v>
      </c>
      <c r="B12" s="13" t="s">
        <v>24</v>
      </c>
      <c r="C12" s="13" t="s">
        <v>55</v>
      </c>
      <c r="D12" s="13" t="s">
        <v>130</v>
      </c>
      <c r="E12" s="30" t="s">
        <v>82</v>
      </c>
      <c r="F12" s="58">
        <v>0.95899999999999996</v>
      </c>
      <c r="G12" s="58">
        <v>0.94399999999999995</v>
      </c>
      <c r="H12" s="58">
        <v>0.98</v>
      </c>
      <c r="I12" s="58"/>
      <c r="J12" s="40">
        <v>1.0012000000000001</v>
      </c>
      <c r="K12" s="48">
        <f t="shared" si="0"/>
        <v>0.41666666666666669</v>
      </c>
      <c r="L12" s="41">
        <f>TIME(11,34,33)</f>
        <v>0.4823263888888889</v>
      </c>
      <c r="M12" s="41">
        <f t="shared" si="1"/>
        <v>6.5659722222222217E-2</v>
      </c>
      <c r="N12" s="41">
        <f t="shared" si="2"/>
        <v>6.5738513888888891E-2</v>
      </c>
      <c r="O12" s="14">
        <v>5</v>
      </c>
    </row>
    <row r="13" spans="1:17" s="3" customFormat="1" hidden="1">
      <c r="A13" s="11" t="s">
        <v>65</v>
      </c>
      <c r="B13" s="11" t="s">
        <v>66</v>
      </c>
      <c r="C13" s="11" t="s">
        <v>161</v>
      </c>
      <c r="D13" s="11" t="s">
        <v>162</v>
      </c>
      <c r="E13" s="18" t="s">
        <v>164</v>
      </c>
      <c r="F13" s="58">
        <v>0.90400000000000003</v>
      </c>
      <c r="G13" s="58"/>
      <c r="H13" s="59"/>
      <c r="I13" s="59"/>
      <c r="J13" s="39"/>
      <c r="K13" s="48">
        <f t="shared" si="0"/>
        <v>0.41666666666666669</v>
      </c>
      <c r="L13" s="41">
        <f t="shared" ref="L13:L33" si="3">TIME(14,0,0)</f>
        <v>0.58333333333333337</v>
      </c>
      <c r="M13" s="41">
        <f t="shared" si="1"/>
        <v>0.16666666666666669</v>
      </c>
      <c r="N13" s="41">
        <f t="shared" si="2"/>
        <v>0</v>
      </c>
      <c r="O13" s="17"/>
    </row>
    <row r="14" spans="1:17" s="2" customFormat="1" hidden="1">
      <c r="A14" s="11" t="s">
        <v>93</v>
      </c>
      <c r="B14" s="13" t="s">
        <v>94</v>
      </c>
      <c r="C14" s="13" t="s">
        <v>96</v>
      </c>
      <c r="D14" s="13" t="s">
        <v>131</v>
      </c>
      <c r="E14" s="35" t="s">
        <v>95</v>
      </c>
      <c r="F14" s="58">
        <v>0.96199999999999997</v>
      </c>
      <c r="G14" s="58">
        <v>0.95299999999999996</v>
      </c>
      <c r="H14" s="58">
        <v>0.98199999999999998</v>
      </c>
      <c r="I14" s="58"/>
      <c r="J14" s="40"/>
      <c r="K14" s="48">
        <f t="shared" si="0"/>
        <v>0.41666666666666669</v>
      </c>
      <c r="L14" s="41">
        <f t="shared" si="3"/>
        <v>0.58333333333333337</v>
      </c>
      <c r="M14" s="41">
        <f t="shared" si="1"/>
        <v>0.16666666666666669</v>
      </c>
      <c r="N14" s="41">
        <f t="shared" si="2"/>
        <v>0</v>
      </c>
      <c r="O14" s="14"/>
    </row>
    <row r="15" spans="1:17" s="1" customFormat="1">
      <c r="A15" s="11" t="s">
        <v>120</v>
      </c>
      <c r="B15" s="36" t="s">
        <v>121</v>
      </c>
      <c r="C15" s="13" t="s">
        <v>122</v>
      </c>
      <c r="D15" s="13" t="s">
        <v>139</v>
      </c>
      <c r="E15" s="30" t="s">
        <v>123</v>
      </c>
      <c r="F15" s="58">
        <v>0.877</v>
      </c>
      <c r="G15" s="58">
        <v>0.86599999999999999</v>
      </c>
      <c r="H15" s="58">
        <v>0.88</v>
      </c>
      <c r="I15" s="58"/>
      <c r="J15" s="40">
        <v>0.88170000000000004</v>
      </c>
      <c r="K15" s="48">
        <f t="shared" si="0"/>
        <v>0.41666666666666669</v>
      </c>
      <c r="L15" s="41">
        <f>TIME(11,52,38)</f>
        <v>0.49488425925925927</v>
      </c>
      <c r="M15" s="41">
        <f t="shared" si="1"/>
        <v>7.8217592592592589E-2</v>
      </c>
      <c r="N15" s="41">
        <f t="shared" si="2"/>
        <v>6.8964451388888889E-2</v>
      </c>
      <c r="O15" s="14">
        <v>9</v>
      </c>
    </row>
    <row r="16" spans="1:17" s="1" customFormat="1">
      <c r="A16" s="11" t="s">
        <v>61</v>
      </c>
      <c r="B16" s="13" t="s">
        <v>42</v>
      </c>
      <c r="C16" s="13" t="s">
        <v>154</v>
      </c>
      <c r="D16" s="13" t="s">
        <v>155</v>
      </c>
      <c r="E16" s="30" t="s">
        <v>163</v>
      </c>
      <c r="F16" s="58">
        <v>1.0860000000000001</v>
      </c>
      <c r="G16" s="58">
        <v>1.0669999999999999</v>
      </c>
      <c r="H16" s="58">
        <v>1.0860000000000001</v>
      </c>
      <c r="I16" s="58">
        <v>1.0669999999999999</v>
      </c>
      <c r="J16" s="40">
        <v>1.1980999999999999</v>
      </c>
      <c r="K16" s="48">
        <f t="shared" si="0"/>
        <v>0.41666666666666669</v>
      </c>
      <c r="L16" s="41">
        <f>TIME(11,15,50)</f>
        <v>0.46932870370370372</v>
      </c>
      <c r="M16" s="41">
        <f t="shared" si="1"/>
        <v>5.2662037037037035E-2</v>
      </c>
      <c r="N16" s="41">
        <f t="shared" si="2"/>
        <v>6.3094386574074068E-2</v>
      </c>
      <c r="O16" s="14">
        <v>3</v>
      </c>
    </row>
    <row r="17" spans="1:15" s="1" customFormat="1">
      <c r="A17" s="11" t="s">
        <v>41</v>
      </c>
      <c r="B17" s="13" t="s">
        <v>42</v>
      </c>
      <c r="C17" s="13" t="s">
        <v>54</v>
      </c>
      <c r="D17" s="13" t="s">
        <v>132</v>
      </c>
      <c r="E17" s="30" t="s">
        <v>98</v>
      </c>
      <c r="F17" s="58">
        <v>1.0109999999999999</v>
      </c>
      <c r="G17" s="58">
        <v>0.99399999999999999</v>
      </c>
      <c r="H17" s="58">
        <v>1.034</v>
      </c>
      <c r="I17" s="58"/>
      <c r="J17" s="40">
        <v>1.0318000000000001</v>
      </c>
      <c r="K17" s="48">
        <f t="shared" si="0"/>
        <v>0.41666666666666669</v>
      </c>
      <c r="L17" s="41">
        <f>TIME(11,23,35)</f>
        <v>0.47471064814814817</v>
      </c>
      <c r="M17" s="41">
        <f t="shared" si="1"/>
        <v>5.8043981481481488E-2</v>
      </c>
      <c r="N17" s="41">
        <f t="shared" si="2"/>
        <v>5.9889780092592604E-2</v>
      </c>
      <c r="O17" s="14">
        <v>1</v>
      </c>
    </row>
    <row r="18" spans="1:15" s="1" customFormat="1">
      <c r="A18" s="11" t="s">
        <v>2</v>
      </c>
      <c r="B18" s="11" t="s">
        <v>3</v>
      </c>
      <c r="C18" s="11" t="s">
        <v>50</v>
      </c>
      <c r="D18" s="11" t="s">
        <v>133</v>
      </c>
      <c r="E18" s="33" t="s">
        <v>84</v>
      </c>
      <c r="F18" s="18"/>
      <c r="G18" s="18"/>
      <c r="H18" s="58">
        <v>0.98299999999999998</v>
      </c>
      <c r="I18" s="58"/>
      <c r="J18" s="39">
        <v>0.94979999999999998</v>
      </c>
      <c r="K18" s="48">
        <f t="shared" si="0"/>
        <v>0.41666666666666669</v>
      </c>
      <c r="L18" s="41">
        <f>TIME(11,44,28)</f>
        <v>0.48921296296296296</v>
      </c>
      <c r="M18" s="41">
        <f t="shared" si="1"/>
        <v>7.2546296296296275E-2</v>
      </c>
      <c r="N18" s="41">
        <f t="shared" si="2"/>
        <v>6.8904472222222207E-2</v>
      </c>
      <c r="O18" s="14">
        <v>8</v>
      </c>
    </row>
    <row r="19" spans="1:15" s="2" customFormat="1" hidden="1">
      <c r="A19" s="11" t="s">
        <v>88</v>
      </c>
      <c r="B19" s="11" t="s">
        <v>89</v>
      </c>
      <c r="C19" s="11" t="s">
        <v>90</v>
      </c>
      <c r="D19" s="11" t="s">
        <v>134</v>
      </c>
      <c r="E19" s="33" t="s">
        <v>84</v>
      </c>
      <c r="F19" s="18"/>
      <c r="G19" s="18"/>
      <c r="H19" s="58">
        <v>0.82</v>
      </c>
      <c r="I19" s="58"/>
      <c r="J19" s="39"/>
      <c r="K19" s="48">
        <f t="shared" si="0"/>
        <v>0.41666666666666669</v>
      </c>
      <c r="L19" s="41">
        <f t="shared" si="3"/>
        <v>0.58333333333333337</v>
      </c>
      <c r="M19" s="41">
        <f t="shared" si="1"/>
        <v>0.16666666666666669</v>
      </c>
      <c r="N19" s="41">
        <f t="shared" si="2"/>
        <v>0</v>
      </c>
      <c r="O19" s="14"/>
    </row>
    <row r="20" spans="1:15" s="2" customFormat="1" hidden="1">
      <c r="A20" s="11" t="s">
        <v>117</v>
      </c>
      <c r="B20" s="11" t="s">
        <v>118</v>
      </c>
      <c r="C20" s="11" t="s">
        <v>119</v>
      </c>
      <c r="D20" s="33" t="s">
        <v>150</v>
      </c>
      <c r="E20" s="33"/>
      <c r="F20" s="18"/>
      <c r="G20" s="18"/>
      <c r="H20" s="58">
        <v>0.85399999999999998</v>
      </c>
      <c r="I20" s="58"/>
      <c r="J20" s="39"/>
      <c r="K20" s="48">
        <f t="shared" si="0"/>
        <v>0.41666666666666669</v>
      </c>
      <c r="L20" s="41">
        <f t="shared" si="3"/>
        <v>0.58333333333333337</v>
      </c>
      <c r="M20" s="41">
        <f t="shared" si="1"/>
        <v>0.16666666666666669</v>
      </c>
      <c r="N20" s="41">
        <f t="shared" si="2"/>
        <v>0</v>
      </c>
      <c r="O20" s="14"/>
    </row>
    <row r="21" spans="1:15" s="2" customFormat="1" hidden="1">
      <c r="A21" s="11" t="s">
        <v>47</v>
      </c>
      <c r="B21" s="11" t="s">
        <v>48</v>
      </c>
      <c r="C21" s="11" t="s">
        <v>49</v>
      </c>
      <c r="D21" s="11" t="s">
        <v>135</v>
      </c>
      <c r="E21" s="33" t="s">
        <v>124</v>
      </c>
      <c r="F21" s="18"/>
      <c r="G21" s="18"/>
      <c r="H21" s="58">
        <v>0.96799999999999997</v>
      </c>
      <c r="I21" s="58">
        <v>0.93500000000000005</v>
      </c>
      <c r="J21" s="39"/>
      <c r="K21" s="48">
        <f t="shared" si="0"/>
        <v>0.41666666666666669</v>
      </c>
      <c r="L21" s="41">
        <f t="shared" si="3"/>
        <v>0.58333333333333337</v>
      </c>
      <c r="M21" s="41">
        <f t="shared" si="1"/>
        <v>0.16666666666666669</v>
      </c>
      <c r="N21" s="41">
        <f t="shared" si="2"/>
        <v>0</v>
      </c>
      <c r="O21" s="14"/>
    </row>
    <row r="22" spans="1:15" s="2" customFormat="1" hidden="1">
      <c r="A22" s="11" t="s">
        <v>109</v>
      </c>
      <c r="B22" s="11" t="s">
        <v>17</v>
      </c>
      <c r="C22" s="11" t="s">
        <v>59</v>
      </c>
      <c r="D22" s="11" t="s">
        <v>146</v>
      </c>
      <c r="E22" s="33" t="s">
        <v>97</v>
      </c>
      <c r="F22" s="18"/>
      <c r="G22" s="18"/>
      <c r="H22" s="58">
        <v>0.94699999999999995</v>
      </c>
      <c r="I22" s="58"/>
      <c r="J22" s="39"/>
      <c r="K22" s="48">
        <f t="shared" si="0"/>
        <v>0.41666666666666669</v>
      </c>
      <c r="L22" s="41">
        <f t="shared" si="3"/>
        <v>0.58333333333333337</v>
      </c>
      <c r="M22" s="41">
        <f t="shared" si="1"/>
        <v>0.16666666666666669</v>
      </c>
      <c r="N22" s="41">
        <f t="shared" si="2"/>
        <v>0</v>
      </c>
      <c r="O22" s="14"/>
    </row>
    <row r="23" spans="1:15" s="2" customFormat="1" hidden="1">
      <c r="A23" s="11" t="s">
        <v>30</v>
      </c>
      <c r="B23" s="11" t="s">
        <v>31</v>
      </c>
      <c r="C23" s="11" t="s">
        <v>35</v>
      </c>
      <c r="D23" s="11" t="s">
        <v>143</v>
      </c>
      <c r="E23" s="33" t="s">
        <v>85</v>
      </c>
      <c r="F23" s="18"/>
      <c r="G23" s="18"/>
      <c r="H23" s="58"/>
      <c r="I23" s="58">
        <v>0.9</v>
      </c>
      <c r="J23" s="39"/>
      <c r="K23" s="48">
        <f t="shared" si="0"/>
        <v>0.41666666666666669</v>
      </c>
      <c r="L23" s="41">
        <f t="shared" si="3"/>
        <v>0.58333333333333337</v>
      </c>
      <c r="M23" s="41">
        <f t="shared" si="1"/>
        <v>0.16666666666666669</v>
      </c>
      <c r="N23" s="41">
        <f t="shared" si="2"/>
        <v>0</v>
      </c>
      <c r="O23" s="14"/>
    </row>
    <row r="24" spans="1:15" s="2" customFormat="1" hidden="1">
      <c r="A24" s="11" t="s">
        <v>14</v>
      </c>
      <c r="B24" s="11" t="s">
        <v>15</v>
      </c>
      <c r="C24" s="11" t="s">
        <v>62</v>
      </c>
      <c r="D24" s="11" t="s">
        <v>142</v>
      </c>
      <c r="E24" s="33" t="s">
        <v>115</v>
      </c>
      <c r="F24" s="18"/>
      <c r="G24" s="18"/>
      <c r="H24" s="58">
        <v>0.92400000000000004</v>
      </c>
      <c r="I24" s="58"/>
      <c r="J24" s="39"/>
      <c r="K24" s="48">
        <f t="shared" si="0"/>
        <v>0.41666666666666669</v>
      </c>
      <c r="L24" s="41">
        <f t="shared" si="3"/>
        <v>0.58333333333333337</v>
      </c>
      <c r="M24" s="41">
        <f t="shared" si="1"/>
        <v>0.16666666666666669</v>
      </c>
      <c r="N24" s="41">
        <f t="shared" si="2"/>
        <v>0</v>
      </c>
      <c r="O24" s="14"/>
    </row>
    <row r="25" spans="1:15" s="2" customFormat="1">
      <c r="A25" s="13" t="s">
        <v>47</v>
      </c>
      <c r="B25" s="13" t="s">
        <v>48</v>
      </c>
      <c r="C25" s="13" t="s">
        <v>49</v>
      </c>
      <c r="D25" s="13" t="s">
        <v>135</v>
      </c>
      <c r="E25" s="30" t="s">
        <v>124</v>
      </c>
      <c r="F25" s="18"/>
      <c r="G25" s="18"/>
      <c r="H25" s="58">
        <v>0.96799999999999997</v>
      </c>
      <c r="I25" s="58">
        <v>0.93500000000000005</v>
      </c>
      <c r="J25" s="40">
        <v>0.96799999999999997</v>
      </c>
      <c r="K25" s="48">
        <f t="shared" si="0"/>
        <v>0.41666666666666669</v>
      </c>
      <c r="L25" s="41">
        <f>TIME(11,52,50)</f>
        <v>0.49502314814814818</v>
      </c>
      <c r="M25" s="41">
        <f t="shared" si="1"/>
        <v>7.8356481481481499E-2</v>
      </c>
      <c r="N25" s="41">
        <f t="shared" si="2"/>
        <v>7.5849074074074083E-2</v>
      </c>
      <c r="O25" s="17">
        <v>15</v>
      </c>
    </row>
    <row r="26" spans="1:15" s="1" customFormat="1">
      <c r="A26" s="11" t="s">
        <v>153</v>
      </c>
      <c r="B26" s="11" t="s">
        <v>34</v>
      </c>
      <c r="C26" s="11" t="s">
        <v>33</v>
      </c>
      <c r="D26" s="11" t="s">
        <v>136</v>
      </c>
      <c r="E26" s="33" t="s">
        <v>78</v>
      </c>
      <c r="F26" s="18"/>
      <c r="G26" s="18"/>
      <c r="H26" s="58"/>
      <c r="I26" s="58">
        <v>0.79100000000000004</v>
      </c>
      <c r="J26" s="39">
        <v>0.81830000000000003</v>
      </c>
      <c r="K26" s="48">
        <f t="shared" si="0"/>
        <v>0.41666666666666669</v>
      </c>
      <c r="L26" s="41">
        <f>TIME(12,2,53)</f>
        <v>0.50200231481481483</v>
      </c>
      <c r="M26" s="41">
        <f t="shared" si="1"/>
        <v>8.5335648148148147E-2</v>
      </c>
      <c r="N26" s="41">
        <f t="shared" si="2"/>
        <v>6.9830160879629635E-2</v>
      </c>
      <c r="O26" s="14">
        <v>11</v>
      </c>
    </row>
    <row r="27" spans="1:15" s="4" customFormat="1">
      <c r="A27" s="11" t="s">
        <v>26</v>
      </c>
      <c r="B27" s="11" t="s">
        <v>45</v>
      </c>
      <c r="C27" s="11" t="s">
        <v>46</v>
      </c>
      <c r="D27" s="11" t="s">
        <v>137</v>
      </c>
      <c r="E27" s="33">
        <v>128</v>
      </c>
      <c r="F27" s="18"/>
      <c r="G27" s="18"/>
      <c r="H27" s="58"/>
      <c r="I27" s="58">
        <v>0.79900000000000004</v>
      </c>
      <c r="J27" s="39">
        <v>0.74309999999999998</v>
      </c>
      <c r="K27" s="48">
        <f t="shared" si="0"/>
        <v>0.41666666666666669</v>
      </c>
      <c r="L27" s="41">
        <f>TIME(12,25,50)</f>
        <v>0.51793981481481477</v>
      </c>
      <c r="M27" s="41">
        <f t="shared" si="1"/>
        <v>0.10127314814814808</v>
      </c>
      <c r="N27" s="41">
        <f t="shared" si="2"/>
        <v>7.5256076388888843E-2</v>
      </c>
      <c r="O27" s="17">
        <v>13</v>
      </c>
    </row>
    <row r="28" spans="1:15" s="1" customFormat="1" hidden="1">
      <c r="A28" s="11" t="s">
        <v>28</v>
      </c>
      <c r="B28" s="11" t="s">
        <v>29</v>
      </c>
      <c r="C28" s="11" t="s">
        <v>40</v>
      </c>
      <c r="D28" s="11" t="s">
        <v>151</v>
      </c>
      <c r="E28" s="33" t="s">
        <v>159</v>
      </c>
      <c r="F28" s="18">
        <v>1.0089999999999999</v>
      </c>
      <c r="G28" s="18"/>
      <c r="H28" s="58">
        <v>1.01</v>
      </c>
      <c r="I28" s="58"/>
      <c r="J28" s="39"/>
      <c r="K28" s="48">
        <f t="shared" si="0"/>
        <v>0.41666666666666669</v>
      </c>
      <c r="L28" s="41">
        <f t="shared" si="3"/>
        <v>0.58333333333333337</v>
      </c>
      <c r="M28" s="41">
        <f t="shared" si="1"/>
        <v>0.16666666666666669</v>
      </c>
      <c r="N28" s="41">
        <f t="shared" si="2"/>
        <v>0</v>
      </c>
      <c r="O28" s="14"/>
    </row>
    <row r="29" spans="1:15" s="2" customFormat="1" hidden="1">
      <c r="A29" s="11" t="s">
        <v>20</v>
      </c>
      <c r="B29" s="11" t="s">
        <v>43</v>
      </c>
      <c r="C29" s="11" t="s">
        <v>22</v>
      </c>
      <c r="D29" s="11" t="s">
        <v>111</v>
      </c>
      <c r="E29" s="33"/>
      <c r="F29" s="18"/>
      <c r="G29" s="18"/>
      <c r="H29" s="58">
        <v>0.84399999999999997</v>
      </c>
      <c r="I29" s="58"/>
      <c r="J29" s="39"/>
      <c r="K29" s="48">
        <f t="shared" si="0"/>
        <v>0.41666666666666669</v>
      </c>
      <c r="L29" s="41">
        <f t="shared" si="3"/>
        <v>0.58333333333333337</v>
      </c>
      <c r="M29" s="41">
        <f t="shared" si="1"/>
        <v>0.16666666666666669</v>
      </c>
      <c r="N29" s="41">
        <f t="shared" si="2"/>
        <v>0</v>
      </c>
      <c r="O29" s="14"/>
    </row>
    <row r="30" spans="1:15" s="2" customFormat="1" hidden="1">
      <c r="A30" s="11" t="s">
        <v>93</v>
      </c>
      <c r="B30" s="11" t="s">
        <v>63</v>
      </c>
      <c r="C30" s="11" t="s">
        <v>156</v>
      </c>
      <c r="D30" s="11" t="s">
        <v>157</v>
      </c>
      <c r="E30" s="33" t="s">
        <v>158</v>
      </c>
      <c r="F30" s="18"/>
      <c r="G30" s="18"/>
      <c r="H30" s="58">
        <v>0.94799999999999995</v>
      </c>
      <c r="I30" s="58"/>
      <c r="J30" s="39"/>
      <c r="K30" s="48">
        <f t="shared" si="0"/>
        <v>0.41666666666666669</v>
      </c>
      <c r="L30" s="41">
        <f t="shared" si="3"/>
        <v>0.58333333333333337</v>
      </c>
      <c r="M30" s="41">
        <f t="shared" si="1"/>
        <v>0.16666666666666669</v>
      </c>
      <c r="N30" s="41">
        <f t="shared" si="2"/>
        <v>0</v>
      </c>
      <c r="O30" s="14"/>
    </row>
    <row r="31" spans="1:15" s="2" customFormat="1">
      <c r="A31" s="11" t="s">
        <v>64</v>
      </c>
      <c r="B31" s="36" t="s">
        <v>52</v>
      </c>
      <c r="C31" s="11" t="s">
        <v>53</v>
      </c>
      <c r="D31" s="11" t="s">
        <v>127</v>
      </c>
      <c r="E31" s="33" t="s">
        <v>84</v>
      </c>
      <c r="F31" s="18"/>
      <c r="G31" s="18"/>
      <c r="H31" s="58">
        <v>0.78700000000000003</v>
      </c>
      <c r="I31" s="58"/>
      <c r="J31" s="39">
        <v>0.67179999999999995</v>
      </c>
      <c r="K31" s="48">
        <f t="shared" si="0"/>
        <v>0.41666666666666669</v>
      </c>
      <c r="L31" s="41">
        <f>TIME(12,42,5)</f>
        <v>0.52922453703703709</v>
      </c>
      <c r="M31" s="41">
        <f t="shared" si="1"/>
        <v>0.11255787037037041</v>
      </c>
      <c r="N31" s="41">
        <f t="shared" si="2"/>
        <v>7.5616377314814839E-2</v>
      </c>
      <c r="O31" s="14">
        <v>14</v>
      </c>
    </row>
    <row r="32" spans="1:15" s="1" customFormat="1">
      <c r="A32" s="11" t="s">
        <v>58</v>
      </c>
      <c r="B32" s="36" t="s">
        <v>56</v>
      </c>
      <c r="C32" s="11" t="s">
        <v>60</v>
      </c>
      <c r="D32" s="11" t="s">
        <v>141</v>
      </c>
      <c r="E32" s="33" t="s">
        <v>81</v>
      </c>
      <c r="F32" s="18"/>
      <c r="G32" s="18"/>
      <c r="H32" s="58">
        <v>0.77700000000000002</v>
      </c>
      <c r="I32" s="58"/>
      <c r="J32" s="39">
        <v>0.67110000000000003</v>
      </c>
      <c r="K32" s="48">
        <f t="shared" si="0"/>
        <v>0.41666666666666669</v>
      </c>
      <c r="L32" s="41">
        <f>TIME(12,54,30)</f>
        <v>0.53784722222222225</v>
      </c>
      <c r="M32" s="41">
        <f t="shared" si="1"/>
        <v>0.12118055555555557</v>
      </c>
      <c r="N32" s="41">
        <f t="shared" si="2"/>
        <v>8.1324270833333351E-2</v>
      </c>
      <c r="O32" s="14">
        <v>17</v>
      </c>
    </row>
    <row r="33" spans="1:15" s="1" customFormat="1" hidden="1">
      <c r="A33" s="11" t="s">
        <v>68</v>
      </c>
      <c r="B33" s="36" t="s">
        <v>165</v>
      </c>
      <c r="C33" s="11" t="s">
        <v>166</v>
      </c>
      <c r="D33" s="11" t="s">
        <v>167</v>
      </c>
      <c r="E33" s="33"/>
      <c r="F33" s="18"/>
      <c r="G33" s="18"/>
      <c r="H33" s="58">
        <v>0.874</v>
      </c>
      <c r="I33" s="58">
        <v>0.85399999999999998</v>
      </c>
      <c r="J33" s="39"/>
      <c r="K33" s="48">
        <f t="shared" si="0"/>
        <v>0.41666666666666669</v>
      </c>
      <c r="L33" s="41">
        <f t="shared" si="3"/>
        <v>0.58333333333333337</v>
      </c>
      <c r="M33" s="41">
        <f t="shared" si="1"/>
        <v>0.16666666666666669</v>
      </c>
      <c r="N33" s="41">
        <f t="shared" si="2"/>
        <v>0</v>
      </c>
      <c r="O33" s="14"/>
    </row>
    <row r="34" spans="1:15" s="2" customFormat="1">
      <c r="A34" s="11" t="s">
        <v>6</v>
      </c>
      <c r="B34" s="11" t="s">
        <v>7</v>
      </c>
      <c r="C34" s="11" t="s">
        <v>9</v>
      </c>
      <c r="D34" s="11" t="s">
        <v>142</v>
      </c>
      <c r="E34" s="33" t="s">
        <v>77</v>
      </c>
      <c r="F34" s="18"/>
      <c r="G34" s="18"/>
      <c r="H34" s="58">
        <v>0.93799999999999994</v>
      </c>
      <c r="I34" s="58">
        <v>0.9</v>
      </c>
      <c r="J34" s="39">
        <v>0.75370000000000004</v>
      </c>
      <c r="K34" s="48">
        <f t="shared" si="0"/>
        <v>0.41666666666666669</v>
      </c>
      <c r="L34" s="41">
        <f>TIME(12,4,40)</f>
        <v>0.50324074074074077</v>
      </c>
      <c r="M34" s="41">
        <f t="shared" si="1"/>
        <v>8.6574074074074081E-2</v>
      </c>
      <c r="N34" s="41">
        <f t="shared" si="2"/>
        <v>6.5250879629629638E-2</v>
      </c>
      <c r="O34" s="14">
        <v>4</v>
      </c>
    </row>
    <row r="35" spans="1:15" s="1" customFormat="1" ht="14.7" thickBot="1">
      <c r="A35" s="11" t="s">
        <v>27</v>
      </c>
      <c r="B35" s="11" t="s">
        <v>37</v>
      </c>
      <c r="C35" s="11" t="s">
        <v>10</v>
      </c>
      <c r="D35" s="11" t="s">
        <v>140</v>
      </c>
      <c r="E35" s="33" t="s">
        <v>99</v>
      </c>
      <c r="F35" s="18"/>
      <c r="G35" s="18"/>
      <c r="H35" s="58">
        <v>0.94899999999999995</v>
      </c>
      <c r="I35" s="58">
        <v>0.91100000000000003</v>
      </c>
      <c r="J35" s="39">
        <v>0.86880000000000002</v>
      </c>
      <c r="K35" s="51">
        <f t="shared" si="0"/>
        <v>0.41666666666666669</v>
      </c>
      <c r="L35" s="52">
        <f>TIME(11,55,28)</f>
        <v>0.49685185185185188</v>
      </c>
      <c r="M35" s="52">
        <f t="shared" si="1"/>
        <v>8.0185185185185193E-2</v>
      </c>
      <c r="N35" s="52">
        <f t="shared" si="2"/>
        <v>6.9664888888888901E-2</v>
      </c>
      <c r="O35" s="53">
        <v>10</v>
      </c>
    </row>
  </sheetData>
  <mergeCells count="1">
    <mergeCell ref="K2:O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G19" sqref="G19"/>
    </sheetView>
  </sheetViews>
  <sheetFormatPr defaultRowHeight="14.4"/>
  <cols>
    <col min="1" max="1" width="12.734375" customWidth="1"/>
    <col min="2" max="2" width="13.62890625" customWidth="1"/>
    <col min="3" max="3" width="13.47265625" customWidth="1"/>
    <col min="4" max="4" width="18.1015625" customWidth="1"/>
    <col min="5" max="5" width="11.3671875" customWidth="1"/>
    <col min="11" max="11" width="10.9453125" customWidth="1"/>
  </cols>
  <sheetData>
    <row r="1" spans="1:13" ht="18.3">
      <c r="A1" s="24" t="s">
        <v>189</v>
      </c>
      <c r="F1" s="5"/>
      <c r="G1" s="3"/>
    </row>
    <row r="2" spans="1:13">
      <c r="F2" s="5"/>
      <c r="G2" s="3"/>
    </row>
    <row r="3" spans="1:13" ht="28.8">
      <c r="A3" s="10" t="s">
        <v>0</v>
      </c>
      <c r="B3" s="10" t="s">
        <v>1</v>
      </c>
      <c r="C3" s="10" t="s">
        <v>8</v>
      </c>
      <c r="D3" s="10" t="s">
        <v>110</v>
      </c>
      <c r="E3" s="23" t="s">
        <v>76</v>
      </c>
      <c r="F3" s="14" t="s">
        <v>75</v>
      </c>
      <c r="G3" s="17" t="s">
        <v>73</v>
      </c>
      <c r="H3" s="14" t="s">
        <v>101</v>
      </c>
      <c r="I3" s="14" t="s">
        <v>103</v>
      </c>
      <c r="J3" s="14" t="s">
        <v>104</v>
      </c>
      <c r="K3" s="14" t="s">
        <v>105</v>
      </c>
      <c r="L3" s="15" t="s">
        <v>170</v>
      </c>
      <c r="M3" s="14" t="s">
        <v>106</v>
      </c>
    </row>
    <row r="4" spans="1:13">
      <c r="A4" s="168" t="s">
        <v>190</v>
      </c>
      <c r="B4" s="169"/>
      <c r="C4" s="169"/>
      <c r="D4" s="169"/>
      <c r="E4" s="169"/>
      <c r="F4" s="170"/>
      <c r="G4" s="18"/>
      <c r="H4" s="16"/>
      <c r="I4" s="92"/>
      <c r="J4" s="92"/>
      <c r="K4" s="93"/>
      <c r="L4" s="93"/>
      <c r="M4" s="32"/>
    </row>
    <row r="5" spans="1:13">
      <c r="A5" s="13" t="s">
        <v>12</v>
      </c>
      <c r="B5" s="13" t="s">
        <v>13</v>
      </c>
      <c r="C5" s="13" t="s">
        <v>23</v>
      </c>
      <c r="D5" s="13" t="s">
        <v>129</v>
      </c>
      <c r="E5" s="30" t="s">
        <v>79</v>
      </c>
      <c r="F5" s="18">
        <v>0.874</v>
      </c>
      <c r="G5" s="18"/>
      <c r="H5" s="32" t="s">
        <v>80</v>
      </c>
      <c r="I5" s="92">
        <f>TIME(9,59, 49)</f>
        <v>0.41653935185185187</v>
      </c>
      <c r="J5" s="92">
        <f>TIME(16,47,40)</f>
        <v>0.69976851851851851</v>
      </c>
      <c r="K5" s="93">
        <f t="shared" ref="K5:K16" si="0">J5-I5</f>
        <v>0.28322916666666664</v>
      </c>
      <c r="L5" s="93">
        <f>K5*F5</f>
        <v>0.24754229166666664</v>
      </c>
      <c r="M5" s="32">
        <v>3</v>
      </c>
    </row>
    <row r="6" spans="1:13">
      <c r="A6" s="13" t="s">
        <v>28</v>
      </c>
      <c r="B6" s="13" t="s">
        <v>29</v>
      </c>
      <c r="C6" s="13" t="s">
        <v>40</v>
      </c>
      <c r="D6" s="13" t="s">
        <v>151</v>
      </c>
      <c r="E6" s="30" t="s">
        <v>159</v>
      </c>
      <c r="F6" s="32">
        <v>1.0089999999999999</v>
      </c>
      <c r="G6" s="18"/>
      <c r="H6" s="32" t="s">
        <v>57</v>
      </c>
      <c r="I6" s="92">
        <f t="shared" ref="I6:I16" si="1">TIME(9,59, 49)</f>
        <v>0.41653935185185187</v>
      </c>
      <c r="J6" s="92">
        <f>TIME(15,44,5)</f>
        <v>0.65561342592592597</v>
      </c>
      <c r="K6" s="93">
        <f t="shared" si="0"/>
        <v>0.23907407407407411</v>
      </c>
      <c r="L6" s="93">
        <f>K6*F6</f>
        <v>0.24122574074074074</v>
      </c>
      <c r="M6" s="32">
        <v>2</v>
      </c>
    </row>
    <row r="7" spans="1:13">
      <c r="A7" s="13" t="s">
        <v>152</v>
      </c>
      <c r="B7" s="13" t="s">
        <v>24</v>
      </c>
      <c r="C7" s="13" t="s">
        <v>55</v>
      </c>
      <c r="D7" s="13" t="s">
        <v>130</v>
      </c>
      <c r="E7" s="30" t="s">
        <v>82</v>
      </c>
      <c r="F7" s="18">
        <v>0.95899999999999996</v>
      </c>
      <c r="G7" s="18"/>
      <c r="H7" s="32" t="s">
        <v>57</v>
      </c>
      <c r="I7" s="92">
        <f t="shared" si="1"/>
        <v>0.41653935185185187</v>
      </c>
      <c r="J7" s="92">
        <f>TIME(15,55,11)</f>
        <v>0.66332175925925929</v>
      </c>
      <c r="K7" s="93">
        <f t="shared" si="0"/>
        <v>0.24678240740740742</v>
      </c>
      <c r="L7" s="93">
        <f>K7*F7</f>
        <v>0.23666432870370371</v>
      </c>
      <c r="M7" s="32">
        <v>1</v>
      </c>
    </row>
    <row r="8" spans="1:13">
      <c r="A8" s="13" t="s">
        <v>191</v>
      </c>
      <c r="B8" s="13" t="s">
        <v>192</v>
      </c>
      <c r="C8" s="13" t="s">
        <v>193</v>
      </c>
      <c r="D8" s="13" t="s">
        <v>194</v>
      </c>
      <c r="E8" s="30" t="s">
        <v>195</v>
      </c>
      <c r="F8" s="18">
        <v>0.99399999999999999</v>
      </c>
      <c r="G8" s="18"/>
      <c r="H8" s="32" t="s">
        <v>57</v>
      </c>
      <c r="I8" s="92">
        <f t="shared" si="1"/>
        <v>0.41653935185185187</v>
      </c>
      <c r="J8" s="93" t="s">
        <v>196</v>
      </c>
      <c r="K8" s="93" t="s">
        <v>196</v>
      </c>
      <c r="L8" s="93" t="s">
        <v>196</v>
      </c>
      <c r="M8" s="32" t="s">
        <v>196</v>
      </c>
    </row>
    <row r="9" spans="1:13">
      <c r="A9" s="13" t="s">
        <v>93</v>
      </c>
      <c r="B9" s="13" t="s">
        <v>94</v>
      </c>
      <c r="C9" s="13" t="s">
        <v>96</v>
      </c>
      <c r="D9" s="13" t="s">
        <v>131</v>
      </c>
      <c r="E9" s="35" t="s">
        <v>95</v>
      </c>
      <c r="F9" s="18">
        <v>0.96199999999999997</v>
      </c>
      <c r="G9" s="18"/>
      <c r="H9" s="32" t="s">
        <v>57</v>
      </c>
      <c r="I9" s="92">
        <f t="shared" si="1"/>
        <v>0.41653935185185187</v>
      </c>
      <c r="J9" s="92">
        <f>TIME(16,31,0)</f>
        <v>0.68819444444444444</v>
      </c>
      <c r="K9" s="93">
        <f t="shared" si="0"/>
        <v>0.27165509259259257</v>
      </c>
      <c r="L9" s="93">
        <f>K9*F9</f>
        <v>0.26133219907407407</v>
      </c>
      <c r="M9" s="32">
        <v>4</v>
      </c>
    </row>
    <row r="10" spans="1:13">
      <c r="A10" s="13"/>
      <c r="B10" s="13"/>
      <c r="C10" s="13"/>
      <c r="D10" s="13"/>
      <c r="E10" s="30"/>
      <c r="F10" s="32"/>
      <c r="G10" s="18"/>
      <c r="H10" s="32"/>
      <c r="I10" s="92"/>
      <c r="J10" s="92"/>
      <c r="K10" s="93"/>
      <c r="L10" s="93"/>
      <c r="M10" s="32"/>
    </row>
    <row r="11" spans="1:13">
      <c r="A11" s="10" t="s">
        <v>197</v>
      </c>
      <c r="B11" s="9"/>
      <c r="C11" s="9"/>
      <c r="D11" s="9"/>
      <c r="E11" s="29"/>
      <c r="F11" s="16"/>
      <c r="G11" s="18"/>
      <c r="H11" s="16"/>
      <c r="I11" s="92"/>
      <c r="J11" s="92"/>
      <c r="K11" s="93"/>
      <c r="L11" s="93"/>
      <c r="M11" s="32"/>
    </row>
    <row r="12" spans="1:13">
      <c r="A12" s="13" t="s">
        <v>109</v>
      </c>
      <c r="B12" s="13" t="s">
        <v>17</v>
      </c>
      <c r="C12" s="13" t="s">
        <v>59</v>
      </c>
      <c r="D12" s="13" t="s">
        <v>146</v>
      </c>
      <c r="E12" s="30" t="s">
        <v>97</v>
      </c>
      <c r="F12" s="32"/>
      <c r="G12" s="18">
        <v>0.94699999999999995</v>
      </c>
      <c r="H12" s="32" t="s">
        <v>57</v>
      </c>
      <c r="I12" s="92">
        <f t="shared" si="1"/>
        <v>0.41653935185185187</v>
      </c>
      <c r="J12" s="92">
        <f>TIME(13,15,3)</f>
        <v>0.55211805555555549</v>
      </c>
      <c r="K12" s="93">
        <f t="shared" si="0"/>
        <v>0.13557870370370362</v>
      </c>
      <c r="L12" s="93">
        <f>K12*G12</f>
        <v>0.12839303240740732</v>
      </c>
      <c r="M12" s="32">
        <v>3</v>
      </c>
    </row>
    <row r="13" spans="1:13">
      <c r="A13" s="13" t="s">
        <v>153</v>
      </c>
      <c r="B13" s="13" t="s">
        <v>34</v>
      </c>
      <c r="C13" s="13" t="s">
        <v>33</v>
      </c>
      <c r="D13" s="13" t="s">
        <v>136</v>
      </c>
      <c r="E13" s="30" t="s">
        <v>78</v>
      </c>
      <c r="F13" s="32"/>
      <c r="G13" s="18">
        <v>0.79100000000000004</v>
      </c>
      <c r="H13" s="32" t="s">
        <v>57</v>
      </c>
      <c r="I13" s="92">
        <f t="shared" si="1"/>
        <v>0.41653935185185187</v>
      </c>
      <c r="J13" s="92">
        <f>TIME(13,24,16)</f>
        <v>0.55851851851851853</v>
      </c>
      <c r="K13" s="93">
        <f t="shared" si="0"/>
        <v>0.14197916666666666</v>
      </c>
      <c r="L13" s="93">
        <f>K13*G13</f>
        <v>0.11230552083333332</v>
      </c>
      <c r="M13" s="32">
        <v>2</v>
      </c>
    </row>
    <row r="14" spans="1:13">
      <c r="A14" s="13" t="s">
        <v>25</v>
      </c>
      <c r="B14" s="13" t="s">
        <v>44</v>
      </c>
      <c r="C14" s="13" t="s">
        <v>51</v>
      </c>
      <c r="D14" s="13" t="s">
        <v>138</v>
      </c>
      <c r="E14" s="30" t="s">
        <v>91</v>
      </c>
      <c r="F14" s="32"/>
      <c r="G14" s="18">
        <v>0.89900000000000002</v>
      </c>
      <c r="H14" s="32" t="s">
        <v>57</v>
      </c>
      <c r="I14" s="92">
        <f t="shared" si="1"/>
        <v>0.41653935185185187</v>
      </c>
      <c r="J14" s="92">
        <f>TIME(13,26,8)</f>
        <v>0.55981481481481488</v>
      </c>
      <c r="K14" s="93">
        <f t="shared" si="0"/>
        <v>0.14327546296296301</v>
      </c>
      <c r="L14" s="93">
        <f>K14*G14</f>
        <v>0.12880464120370375</v>
      </c>
      <c r="M14" s="32">
        <v>4</v>
      </c>
    </row>
    <row r="15" spans="1:13">
      <c r="A15" s="13" t="s">
        <v>58</v>
      </c>
      <c r="B15" s="36" t="s">
        <v>56</v>
      </c>
      <c r="C15" s="13" t="s">
        <v>60</v>
      </c>
      <c r="D15" s="13" t="s">
        <v>141</v>
      </c>
      <c r="E15" s="30" t="s">
        <v>81</v>
      </c>
      <c r="F15" s="18"/>
      <c r="G15" s="18">
        <v>0.77700000000000002</v>
      </c>
      <c r="H15" s="32" t="s">
        <v>57</v>
      </c>
      <c r="I15" s="92">
        <f t="shared" si="1"/>
        <v>0.41653935185185187</v>
      </c>
      <c r="J15" s="92">
        <f>TIME(13,59,4)</f>
        <v>0.58268518518518519</v>
      </c>
      <c r="K15" s="93">
        <f t="shared" si="0"/>
        <v>0.16614583333333333</v>
      </c>
      <c r="L15" s="93">
        <f>K15*G15</f>
        <v>0.1290953125</v>
      </c>
      <c r="M15" s="32">
        <v>5</v>
      </c>
    </row>
    <row r="16" spans="1:13">
      <c r="A16" s="13" t="s">
        <v>27</v>
      </c>
      <c r="B16" s="13" t="s">
        <v>37</v>
      </c>
      <c r="C16" s="13" t="s">
        <v>10</v>
      </c>
      <c r="D16" s="13" t="s">
        <v>140</v>
      </c>
      <c r="E16" s="30" t="s">
        <v>99</v>
      </c>
      <c r="F16" s="32"/>
      <c r="G16" s="18">
        <v>0.94899999999999995</v>
      </c>
      <c r="H16" s="32" t="s">
        <v>57</v>
      </c>
      <c r="I16" s="92">
        <f t="shared" si="1"/>
        <v>0.41653935185185187</v>
      </c>
      <c r="J16" s="92">
        <f>TIME(12,46,1)</f>
        <v>0.53195601851851848</v>
      </c>
      <c r="K16" s="93">
        <f t="shared" si="0"/>
        <v>0.11541666666666661</v>
      </c>
      <c r="L16" s="93">
        <f>K16*G16</f>
        <v>0.10953041666666662</v>
      </c>
      <c r="M16" s="32">
        <v>1</v>
      </c>
    </row>
  </sheetData>
  <mergeCells count="1">
    <mergeCell ref="A4:F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E13" sqref="E13"/>
    </sheetView>
  </sheetViews>
  <sheetFormatPr defaultRowHeight="14.4"/>
  <sheetData>
    <row r="1" spans="1:12" ht="18.3">
      <c r="A1" s="24" t="s">
        <v>198</v>
      </c>
      <c r="B1" s="24"/>
      <c r="C1" s="24"/>
      <c r="D1" s="24"/>
      <c r="E1" s="25"/>
      <c r="F1" s="26"/>
      <c r="G1" s="26"/>
      <c r="H1" s="24"/>
      <c r="I1" s="24"/>
      <c r="J1" s="24"/>
      <c r="K1" s="24"/>
      <c r="L1" s="24"/>
    </row>
    <row r="2" spans="1:12">
      <c r="A2" t="s">
        <v>199</v>
      </c>
      <c r="E2" s="7"/>
      <c r="F2" s="5"/>
      <c r="G2" s="5"/>
    </row>
    <row r="3" spans="1:12">
      <c r="A3" s="10" t="s">
        <v>0</v>
      </c>
      <c r="B3" s="10" t="s">
        <v>1</v>
      </c>
      <c r="C3" s="10" t="s">
        <v>8</v>
      </c>
      <c r="D3" s="10" t="s">
        <v>110</v>
      </c>
      <c r="E3" s="23" t="s">
        <v>76</v>
      </c>
      <c r="F3" s="14" t="s">
        <v>73</v>
      </c>
      <c r="G3" s="14" t="s">
        <v>101</v>
      </c>
      <c r="H3" s="10" t="s">
        <v>200</v>
      </c>
      <c r="I3" s="10" t="s">
        <v>201</v>
      </c>
      <c r="J3" s="10" t="s">
        <v>105</v>
      </c>
      <c r="K3" s="10" t="s">
        <v>170</v>
      </c>
      <c r="L3" s="10" t="s">
        <v>106</v>
      </c>
    </row>
    <row r="4" spans="1:12">
      <c r="A4" s="13" t="s">
        <v>12</v>
      </c>
      <c r="B4" s="13" t="s">
        <v>13</v>
      </c>
      <c r="C4" s="13" t="s">
        <v>23</v>
      </c>
      <c r="D4" s="13" t="s">
        <v>129</v>
      </c>
      <c r="E4" s="30" t="s">
        <v>79</v>
      </c>
      <c r="F4" s="18">
        <v>0.89600000000000002</v>
      </c>
      <c r="G4" s="32" t="s">
        <v>80</v>
      </c>
      <c r="H4" s="94">
        <f>TIME(10,0,0)</f>
        <v>0.41666666666666669</v>
      </c>
      <c r="I4" s="95">
        <f>TIME(13,53,50)</f>
        <v>0.57905092592592589</v>
      </c>
      <c r="J4" s="95">
        <f>I4-H4</f>
        <v>0.1623842592592592</v>
      </c>
      <c r="K4" s="95">
        <f>J4*F4</f>
        <v>0.14549629629629623</v>
      </c>
      <c r="L4" s="32">
        <v>3</v>
      </c>
    </row>
    <row r="5" spans="1:12">
      <c r="A5" s="13" t="s">
        <v>152</v>
      </c>
      <c r="B5" s="13" t="s">
        <v>24</v>
      </c>
      <c r="C5" s="13" t="s">
        <v>55</v>
      </c>
      <c r="D5" s="13" t="s">
        <v>130</v>
      </c>
      <c r="E5" s="30" t="s">
        <v>82</v>
      </c>
      <c r="F5" s="18">
        <v>0.96499999999999997</v>
      </c>
      <c r="G5" s="32" t="s">
        <v>57</v>
      </c>
      <c r="H5" s="93" t="s">
        <v>174</v>
      </c>
      <c r="I5" s="95"/>
      <c r="J5" s="95"/>
      <c r="K5" s="95"/>
      <c r="L5" s="32"/>
    </row>
    <row r="6" spans="1:12">
      <c r="A6" s="13" t="s">
        <v>41</v>
      </c>
      <c r="B6" s="13" t="s">
        <v>42</v>
      </c>
      <c r="C6" s="13" t="s">
        <v>54</v>
      </c>
      <c r="D6" s="13" t="s">
        <v>132</v>
      </c>
      <c r="E6" s="30" t="s">
        <v>98</v>
      </c>
      <c r="F6" s="18">
        <v>1.034</v>
      </c>
      <c r="G6" s="32" t="s">
        <v>57</v>
      </c>
      <c r="H6" s="94">
        <f>TIME(10,0,0)</f>
        <v>0.41666666666666669</v>
      </c>
      <c r="I6" s="95">
        <f>TIME(13,8,16)</f>
        <v>0.54740740740740745</v>
      </c>
      <c r="J6" s="95">
        <f>I6-H6</f>
        <v>0.13074074074074077</v>
      </c>
      <c r="K6" s="95">
        <f>J6*F6</f>
        <v>0.13518592592592596</v>
      </c>
      <c r="L6" s="32">
        <v>1</v>
      </c>
    </row>
    <row r="7" spans="1:12">
      <c r="A7" s="13" t="s">
        <v>153</v>
      </c>
      <c r="B7" s="13" t="s">
        <v>34</v>
      </c>
      <c r="C7" s="13" t="s">
        <v>33</v>
      </c>
      <c r="D7" s="13" t="s">
        <v>136</v>
      </c>
      <c r="E7" s="30" t="s">
        <v>78</v>
      </c>
      <c r="F7" s="18">
        <v>0.79100000000000004</v>
      </c>
      <c r="G7" s="32" t="s">
        <v>57</v>
      </c>
      <c r="H7" s="93" t="s">
        <v>174</v>
      </c>
      <c r="I7" s="95"/>
      <c r="J7" s="95"/>
      <c r="K7" s="95"/>
      <c r="L7" s="32"/>
    </row>
    <row r="8" spans="1:12">
      <c r="A8" s="13" t="s">
        <v>58</v>
      </c>
      <c r="B8" s="36" t="s">
        <v>56</v>
      </c>
      <c r="C8" s="13" t="s">
        <v>60</v>
      </c>
      <c r="D8" s="13" t="s">
        <v>141</v>
      </c>
      <c r="E8" s="30" t="s">
        <v>81</v>
      </c>
      <c r="F8" s="18">
        <v>0.77700000000000002</v>
      </c>
      <c r="G8" s="32" t="s">
        <v>57</v>
      </c>
      <c r="H8" s="94">
        <f>TIME(10,0,0)</f>
        <v>0.41666666666666669</v>
      </c>
      <c r="I8" s="95">
        <f>TIME(15,14,37)</f>
        <v>0.63515046296296296</v>
      </c>
      <c r="J8" s="95">
        <f>I8-H8</f>
        <v>0.21848379629629627</v>
      </c>
      <c r="K8" s="95">
        <f>J8*F8</f>
        <v>0.16976190972222222</v>
      </c>
      <c r="L8" s="32">
        <v>4</v>
      </c>
    </row>
    <row r="9" spans="1:12">
      <c r="A9" s="96" t="s">
        <v>202</v>
      </c>
      <c r="B9" s="96" t="s">
        <v>165</v>
      </c>
      <c r="C9" s="96" t="s">
        <v>166</v>
      </c>
      <c r="D9" s="96" t="s">
        <v>167</v>
      </c>
      <c r="E9" s="29" t="s">
        <v>203</v>
      </c>
      <c r="F9" s="16">
        <v>0.85399999999999998</v>
      </c>
      <c r="G9" s="16" t="s">
        <v>80</v>
      </c>
      <c r="H9" s="94">
        <f>TIME(10,0,0)</f>
        <v>0.41666666666666669</v>
      </c>
      <c r="I9" s="95">
        <f>TIME(14,2,8)</f>
        <v>0.58481481481481479</v>
      </c>
      <c r="J9" s="95">
        <f>I9-H9</f>
        <v>0.1681481481481481</v>
      </c>
      <c r="K9" s="95">
        <f>J9*F9</f>
        <v>0.14359851851851849</v>
      </c>
      <c r="L9" s="16">
        <v>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G20" sqref="G20"/>
    </sheetView>
  </sheetViews>
  <sheetFormatPr defaultRowHeight="14.4"/>
  <sheetData>
    <row r="1" spans="1:14" ht="18.3">
      <c r="A1" s="24" t="s">
        <v>204</v>
      </c>
      <c r="B1" s="24"/>
      <c r="C1" s="24"/>
      <c r="D1" s="24"/>
      <c r="E1" s="26"/>
      <c r="F1" s="26"/>
      <c r="G1" s="26"/>
      <c r="H1" s="24"/>
      <c r="I1" s="24"/>
      <c r="J1" s="24"/>
      <c r="K1" s="24"/>
      <c r="L1" s="26"/>
      <c r="M1" s="26"/>
      <c r="N1" s="26"/>
    </row>
    <row r="2" spans="1:14">
      <c r="E2" s="5"/>
      <c r="F2" s="5"/>
      <c r="G2" s="5"/>
      <c r="L2" s="5"/>
      <c r="M2" s="5"/>
      <c r="N2" s="5"/>
    </row>
    <row r="3" spans="1:14" ht="57.6">
      <c r="A3" s="10" t="s">
        <v>0</v>
      </c>
      <c r="B3" s="10" t="s">
        <v>1</v>
      </c>
      <c r="C3" s="10" t="s">
        <v>8</v>
      </c>
      <c r="D3" s="10" t="s">
        <v>110</v>
      </c>
      <c r="E3" s="14" t="s">
        <v>76</v>
      </c>
      <c r="F3" s="14" t="s">
        <v>75</v>
      </c>
      <c r="G3" s="14" t="s">
        <v>73</v>
      </c>
      <c r="H3" s="14" t="s">
        <v>103</v>
      </c>
      <c r="I3" s="14" t="s">
        <v>104</v>
      </c>
      <c r="J3" s="14" t="s">
        <v>105</v>
      </c>
      <c r="K3" s="15" t="s">
        <v>205</v>
      </c>
      <c r="L3" s="15" t="s">
        <v>206</v>
      </c>
      <c r="M3" s="15" t="s">
        <v>207</v>
      </c>
      <c r="N3" s="15" t="s">
        <v>208</v>
      </c>
    </row>
    <row r="4" spans="1:14">
      <c r="A4" s="10" t="s">
        <v>38</v>
      </c>
      <c r="B4" s="9"/>
      <c r="C4" s="9"/>
      <c r="D4" s="9"/>
      <c r="E4" s="16"/>
      <c r="F4" s="16"/>
      <c r="G4" s="16"/>
      <c r="H4" s="9"/>
      <c r="I4" s="9"/>
      <c r="J4" s="9"/>
      <c r="K4" s="9"/>
      <c r="L4" s="32"/>
      <c r="M4" s="16"/>
      <c r="N4" s="32"/>
    </row>
    <row r="5" spans="1:14">
      <c r="A5" s="11" t="s">
        <v>58</v>
      </c>
      <c r="B5" s="11" t="s">
        <v>209</v>
      </c>
      <c r="C5" s="11" t="s">
        <v>210</v>
      </c>
      <c r="D5" s="11" t="s">
        <v>211</v>
      </c>
      <c r="E5" s="18" t="s">
        <v>212</v>
      </c>
      <c r="F5" s="18">
        <v>1.014</v>
      </c>
      <c r="G5" s="18"/>
      <c r="H5" s="92">
        <f t="shared" ref="H5:H18" si="0">TIME(10,0,0)</f>
        <v>0.41666666666666669</v>
      </c>
      <c r="I5" s="92">
        <f>TIME(14,29,29)</f>
        <v>0.60380787037037031</v>
      </c>
      <c r="J5" s="97">
        <f t="shared" ref="J5:J11" si="1">I5-H5</f>
        <v>0.18714120370370363</v>
      </c>
      <c r="K5" s="97">
        <f t="shared" ref="K5:K11" si="2">J5*F5</f>
        <v>0.18976118055555549</v>
      </c>
      <c r="L5" s="18">
        <v>5</v>
      </c>
      <c r="M5" s="97">
        <f t="shared" ref="M5:M11" si="3">J5*G5</f>
        <v>0</v>
      </c>
      <c r="N5" s="18"/>
    </row>
    <row r="6" spans="1:14">
      <c r="A6" s="13" t="s">
        <v>41</v>
      </c>
      <c r="B6" s="13" t="s">
        <v>42</v>
      </c>
      <c r="C6" s="13" t="s">
        <v>54</v>
      </c>
      <c r="D6" s="13" t="s">
        <v>132</v>
      </c>
      <c r="E6" s="32" t="s">
        <v>98</v>
      </c>
      <c r="F6" s="18">
        <v>1.0109999999999999</v>
      </c>
      <c r="G6" s="18">
        <v>1.034</v>
      </c>
      <c r="H6" s="92">
        <f t="shared" si="0"/>
        <v>0.41666666666666669</v>
      </c>
      <c r="I6" s="92">
        <f>TIME(14,22,28)</f>
        <v>0.59893518518518518</v>
      </c>
      <c r="J6" s="97">
        <f t="shared" si="1"/>
        <v>0.1822685185185185</v>
      </c>
      <c r="K6" s="97">
        <f t="shared" si="2"/>
        <v>0.18427347222222218</v>
      </c>
      <c r="L6" s="32">
        <v>4</v>
      </c>
      <c r="M6" s="97">
        <f t="shared" si="3"/>
        <v>0.18846564814814812</v>
      </c>
      <c r="N6" s="32">
        <v>4</v>
      </c>
    </row>
    <row r="7" spans="1:14">
      <c r="A7" s="33" t="s">
        <v>213</v>
      </c>
      <c r="B7" s="33" t="s">
        <v>214</v>
      </c>
      <c r="C7" s="33" t="s">
        <v>215</v>
      </c>
      <c r="D7" s="33" t="s">
        <v>216</v>
      </c>
      <c r="E7" s="18" t="s">
        <v>217</v>
      </c>
      <c r="F7" s="18">
        <v>1</v>
      </c>
      <c r="G7" s="18">
        <v>0.99399999999999999</v>
      </c>
      <c r="H7" s="98">
        <f t="shared" si="0"/>
        <v>0.41666666666666669</v>
      </c>
      <c r="I7" s="98">
        <f>TIME(14,35,49)</f>
        <v>0.60820601851851852</v>
      </c>
      <c r="J7" s="99">
        <f t="shared" si="1"/>
        <v>0.19153935185185184</v>
      </c>
      <c r="K7" s="99">
        <f t="shared" si="2"/>
        <v>0.19153935185185184</v>
      </c>
      <c r="L7" s="18">
        <v>7</v>
      </c>
      <c r="M7" s="99">
        <f t="shared" si="3"/>
        <v>0.19039011574074072</v>
      </c>
      <c r="N7" s="18">
        <v>5</v>
      </c>
    </row>
    <row r="8" spans="1:14">
      <c r="A8" s="13" t="s">
        <v>152</v>
      </c>
      <c r="B8" s="13" t="s">
        <v>24</v>
      </c>
      <c r="C8" s="13" t="s">
        <v>55</v>
      </c>
      <c r="D8" s="13" t="s">
        <v>130</v>
      </c>
      <c r="E8" s="32" t="s">
        <v>82</v>
      </c>
      <c r="F8" s="18">
        <v>0.95899999999999996</v>
      </c>
      <c r="G8" s="18">
        <v>0.98</v>
      </c>
      <c r="H8" s="92">
        <f t="shared" si="0"/>
        <v>0.41666666666666669</v>
      </c>
      <c r="I8" s="92">
        <f>TIME(14,46,12)</f>
        <v>0.61541666666666661</v>
      </c>
      <c r="J8" s="97">
        <f t="shared" si="1"/>
        <v>0.19874999999999993</v>
      </c>
      <c r="K8" s="97">
        <f t="shared" si="2"/>
        <v>0.19060124999999992</v>
      </c>
      <c r="L8" s="32">
        <v>6</v>
      </c>
      <c r="M8" s="97">
        <f t="shared" si="3"/>
        <v>0.19477499999999992</v>
      </c>
      <c r="N8" s="32">
        <v>7</v>
      </c>
    </row>
    <row r="9" spans="1:14">
      <c r="A9" s="11" t="s">
        <v>218</v>
      </c>
      <c r="B9" s="11" t="s">
        <v>219</v>
      </c>
      <c r="C9" s="11" t="s">
        <v>220</v>
      </c>
      <c r="D9" s="11" t="s">
        <v>221</v>
      </c>
      <c r="E9" s="18" t="s">
        <v>222</v>
      </c>
      <c r="F9" s="18">
        <v>0.90500000000000003</v>
      </c>
      <c r="G9" s="18">
        <v>0.93</v>
      </c>
      <c r="H9" s="92">
        <f t="shared" si="0"/>
        <v>0.41666666666666669</v>
      </c>
      <c r="I9" s="92">
        <f>TIME(14,36,10)</f>
        <v>0.60844907407407411</v>
      </c>
      <c r="J9" s="97">
        <f t="shared" si="1"/>
        <v>0.19178240740740743</v>
      </c>
      <c r="K9" s="97">
        <f t="shared" si="2"/>
        <v>0.17356307870370372</v>
      </c>
      <c r="L9" s="18">
        <v>2</v>
      </c>
      <c r="M9" s="97">
        <f t="shared" si="3"/>
        <v>0.17835763888888892</v>
      </c>
      <c r="N9" s="18">
        <v>1</v>
      </c>
    </row>
    <row r="10" spans="1:14">
      <c r="A10" s="11" t="s">
        <v>65</v>
      </c>
      <c r="B10" s="11" t="s">
        <v>66</v>
      </c>
      <c r="C10" s="11" t="s">
        <v>161</v>
      </c>
      <c r="D10" s="11" t="s">
        <v>162</v>
      </c>
      <c r="E10" s="18" t="s">
        <v>223</v>
      </c>
      <c r="F10" s="18">
        <v>0.90400000000000003</v>
      </c>
      <c r="G10" s="18"/>
      <c r="H10" s="98">
        <f t="shared" si="0"/>
        <v>0.41666666666666669</v>
      </c>
      <c r="I10" s="98">
        <f>TIME(14,31,47)</f>
        <v>0.60540509259259256</v>
      </c>
      <c r="J10" s="99">
        <f t="shared" si="1"/>
        <v>0.18873842592592588</v>
      </c>
      <c r="K10" s="99">
        <f t="shared" si="2"/>
        <v>0.170619537037037</v>
      </c>
      <c r="L10" s="18">
        <v>1</v>
      </c>
      <c r="M10" s="99">
        <f t="shared" si="3"/>
        <v>0</v>
      </c>
      <c r="N10" s="18"/>
    </row>
    <row r="11" spans="1:14">
      <c r="A11" s="11" t="s">
        <v>224</v>
      </c>
      <c r="B11" s="11" t="s">
        <v>225</v>
      </c>
      <c r="C11" s="11" t="s">
        <v>226</v>
      </c>
      <c r="D11" s="11" t="s">
        <v>227</v>
      </c>
      <c r="E11" s="18" t="s">
        <v>228</v>
      </c>
      <c r="F11" s="18">
        <v>0.88200000000000001</v>
      </c>
      <c r="G11" s="18">
        <v>0.94299999999999995</v>
      </c>
      <c r="H11" s="98">
        <f t="shared" si="0"/>
        <v>0.41666666666666669</v>
      </c>
      <c r="I11" s="98">
        <f>TIME(14,47,0)</f>
        <v>0.61597222222222225</v>
      </c>
      <c r="J11" s="99">
        <f t="shared" si="1"/>
        <v>0.19930555555555557</v>
      </c>
      <c r="K11" s="99">
        <f t="shared" si="2"/>
        <v>0.17578750000000001</v>
      </c>
      <c r="L11" s="18">
        <v>3</v>
      </c>
      <c r="M11" s="99">
        <f t="shared" si="3"/>
        <v>0.18794513888888889</v>
      </c>
      <c r="N11" s="18">
        <v>3</v>
      </c>
    </row>
    <row r="12" spans="1:14">
      <c r="A12" s="10"/>
      <c r="B12" s="10"/>
      <c r="C12" s="10"/>
      <c r="D12" s="10"/>
      <c r="E12" s="14"/>
      <c r="F12" s="17"/>
      <c r="G12" s="17"/>
      <c r="H12" s="92"/>
      <c r="I12" s="92"/>
      <c r="J12" s="97"/>
      <c r="K12" s="10"/>
      <c r="L12" s="32"/>
      <c r="M12" s="97"/>
      <c r="N12" s="32"/>
    </row>
    <row r="13" spans="1:14">
      <c r="A13" s="10" t="s">
        <v>39</v>
      </c>
      <c r="B13" s="10"/>
      <c r="C13" s="10"/>
      <c r="D13" s="10"/>
      <c r="E13" s="14"/>
      <c r="F13" s="17"/>
      <c r="G13" s="17"/>
      <c r="H13" s="92"/>
      <c r="I13" s="92"/>
      <c r="J13" s="97"/>
      <c r="K13" s="10"/>
      <c r="L13" s="32"/>
      <c r="M13" s="97"/>
      <c r="N13" s="32"/>
    </row>
    <row r="14" spans="1:14">
      <c r="A14" s="11" t="s">
        <v>229</v>
      </c>
      <c r="B14" s="11" t="s">
        <v>230</v>
      </c>
      <c r="C14" s="11" t="s">
        <v>231</v>
      </c>
      <c r="D14" s="11" t="s">
        <v>232</v>
      </c>
      <c r="E14" s="18">
        <v>6858</v>
      </c>
      <c r="F14" s="18"/>
      <c r="G14" s="18">
        <v>0.98299999999999998</v>
      </c>
      <c r="H14" s="92">
        <f t="shared" si="0"/>
        <v>0.41666666666666669</v>
      </c>
      <c r="I14" s="92">
        <f>TIME(14,50,16)</f>
        <v>0.61824074074074076</v>
      </c>
      <c r="J14" s="97">
        <f>I14-H14</f>
        <v>0.20157407407407407</v>
      </c>
      <c r="K14" s="94">
        <f>J14*G14</f>
        <v>0.19814731481481482</v>
      </c>
      <c r="L14" s="18">
        <v>3</v>
      </c>
      <c r="M14" s="97">
        <f>J14*G14</f>
        <v>0.19814731481481482</v>
      </c>
      <c r="N14" s="18">
        <v>8</v>
      </c>
    </row>
    <row r="15" spans="1:14">
      <c r="A15" s="13" t="s">
        <v>27</v>
      </c>
      <c r="B15" s="13" t="s">
        <v>37</v>
      </c>
      <c r="C15" s="13" t="s">
        <v>10</v>
      </c>
      <c r="D15" s="13" t="s">
        <v>140</v>
      </c>
      <c r="E15" s="32" t="s">
        <v>99</v>
      </c>
      <c r="F15" s="32"/>
      <c r="G15" s="18">
        <v>0.94899999999999995</v>
      </c>
      <c r="H15" s="92">
        <f t="shared" si="0"/>
        <v>0.41666666666666669</v>
      </c>
      <c r="I15" s="92">
        <f>TIME(15,23,27)</f>
        <v>0.64128472222222221</v>
      </c>
      <c r="J15" s="97">
        <f>I15-H15</f>
        <v>0.22461805555555553</v>
      </c>
      <c r="K15" s="94">
        <f>J15*G15</f>
        <v>0.21316253472222219</v>
      </c>
      <c r="L15" s="32">
        <v>4</v>
      </c>
      <c r="M15" s="97">
        <f>J15*G15</f>
        <v>0.21316253472222219</v>
      </c>
      <c r="N15" s="32">
        <v>9</v>
      </c>
    </row>
    <row r="16" spans="1:14">
      <c r="A16" s="9" t="s">
        <v>233</v>
      </c>
      <c r="B16" s="13" t="s">
        <v>234</v>
      </c>
      <c r="C16" s="13" t="s">
        <v>235</v>
      </c>
      <c r="D16" s="13" t="s">
        <v>236</v>
      </c>
      <c r="E16" s="16" t="s">
        <v>237</v>
      </c>
      <c r="F16" s="27"/>
      <c r="G16" s="18">
        <v>0.94699999999999995</v>
      </c>
      <c r="H16" s="92">
        <f t="shared" si="0"/>
        <v>0.41666666666666669</v>
      </c>
      <c r="I16" s="92">
        <f>TIME(14,38,10)</f>
        <v>0.609837962962963</v>
      </c>
      <c r="J16" s="97">
        <f>I16-H16</f>
        <v>0.19317129629629631</v>
      </c>
      <c r="K16" s="94">
        <f>J16*G16</f>
        <v>0.1829332175925926</v>
      </c>
      <c r="L16" s="32">
        <v>1</v>
      </c>
      <c r="M16" s="97">
        <f>J16*G16</f>
        <v>0.1829332175925926</v>
      </c>
      <c r="N16" s="32">
        <v>2</v>
      </c>
    </row>
    <row r="17" spans="1:14">
      <c r="A17" s="13" t="s">
        <v>120</v>
      </c>
      <c r="B17" s="36" t="s">
        <v>121</v>
      </c>
      <c r="C17" s="13" t="s">
        <v>122</v>
      </c>
      <c r="D17" s="13" t="s">
        <v>139</v>
      </c>
      <c r="E17" s="32" t="s">
        <v>123</v>
      </c>
      <c r="F17" s="18"/>
      <c r="G17" s="18">
        <v>0.88</v>
      </c>
      <c r="H17" s="92">
        <f t="shared" si="0"/>
        <v>0.41666666666666669</v>
      </c>
      <c r="I17" s="92">
        <f>TIME(15,11,39)</f>
        <v>0.63309027777777771</v>
      </c>
      <c r="J17" s="97">
        <f>I17-H17</f>
        <v>0.21642361111111103</v>
      </c>
      <c r="K17" s="94">
        <f>J17*G17</f>
        <v>0.19045277777777769</v>
      </c>
      <c r="L17" s="32">
        <v>2</v>
      </c>
      <c r="M17" s="97">
        <f>J17*G17</f>
        <v>0.19045277777777769</v>
      </c>
      <c r="N17" s="32">
        <v>6</v>
      </c>
    </row>
    <row r="18" spans="1:14">
      <c r="A18" s="11" t="s">
        <v>238</v>
      </c>
      <c r="B18" s="11" t="s">
        <v>239</v>
      </c>
      <c r="C18" s="11" t="s">
        <v>240</v>
      </c>
      <c r="D18" s="11" t="s">
        <v>241</v>
      </c>
      <c r="E18" s="18" t="s">
        <v>242</v>
      </c>
      <c r="F18" s="18"/>
      <c r="G18" s="18">
        <v>0.78900000000000003</v>
      </c>
      <c r="H18" s="92">
        <f t="shared" si="0"/>
        <v>0.41666666666666669</v>
      </c>
      <c r="I18" s="92">
        <f>TIME(17,26,0)</f>
        <v>0.72638888888888886</v>
      </c>
      <c r="J18" s="97">
        <f>I18-H18</f>
        <v>0.30972222222222218</v>
      </c>
      <c r="K18" s="94">
        <f>J18*G18</f>
        <v>0.24437083333333331</v>
      </c>
      <c r="L18" s="18">
        <v>5</v>
      </c>
      <c r="M18" s="97">
        <f>J18*G18</f>
        <v>0.24437083333333331</v>
      </c>
      <c r="N18" s="18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1"/>
  <sheetViews>
    <sheetView workbookViewId="0">
      <selection activeCell="D16" sqref="D16"/>
    </sheetView>
  </sheetViews>
  <sheetFormatPr defaultRowHeight="14.4"/>
  <cols>
    <col min="1" max="1" width="12.3125" customWidth="1"/>
    <col min="2" max="2" width="9.68359375" customWidth="1"/>
  </cols>
  <sheetData>
    <row r="1" spans="1:25" ht="18.3">
      <c r="A1" s="24" t="s">
        <v>243</v>
      </c>
      <c r="B1" s="7"/>
      <c r="C1" s="5"/>
      <c r="D1" s="5"/>
      <c r="J1" s="2"/>
      <c r="K1" s="100"/>
      <c r="P1" s="2"/>
      <c r="Q1" s="100"/>
      <c r="V1" s="2"/>
      <c r="W1" s="20"/>
      <c r="X1" s="12"/>
      <c r="Y1" s="5"/>
    </row>
    <row r="2" spans="1:25" ht="14.7" thickBot="1">
      <c r="B2" s="7"/>
      <c r="C2" s="5"/>
      <c r="D2" s="5"/>
      <c r="J2" s="2"/>
      <c r="K2" s="100"/>
      <c r="P2" s="2"/>
      <c r="Q2" s="100"/>
      <c r="V2" s="2"/>
      <c r="W2" s="20"/>
      <c r="X2" s="12"/>
      <c r="Y2" s="5"/>
    </row>
    <row r="3" spans="1:25">
      <c r="A3" s="174" t="s">
        <v>8</v>
      </c>
      <c r="B3" s="101" t="s">
        <v>76</v>
      </c>
      <c r="C3" s="102" t="s">
        <v>75</v>
      </c>
      <c r="D3" s="177" t="s">
        <v>73</v>
      </c>
      <c r="E3" s="83"/>
      <c r="F3" s="161" t="s">
        <v>244</v>
      </c>
      <c r="G3" s="162"/>
      <c r="H3" s="162"/>
      <c r="I3" s="162"/>
      <c r="J3" s="162"/>
      <c r="K3" s="164"/>
      <c r="L3" s="161" t="s">
        <v>245</v>
      </c>
      <c r="M3" s="162"/>
      <c r="N3" s="162"/>
      <c r="O3" s="162"/>
      <c r="P3" s="162"/>
      <c r="Q3" s="164"/>
      <c r="R3" s="161" t="s">
        <v>246</v>
      </c>
      <c r="S3" s="162"/>
      <c r="T3" s="162"/>
      <c r="U3" s="162"/>
      <c r="V3" s="162"/>
      <c r="W3" s="164"/>
      <c r="X3" s="180" t="s">
        <v>247</v>
      </c>
      <c r="Y3" s="171" t="s">
        <v>248</v>
      </c>
    </row>
    <row r="4" spans="1:25">
      <c r="A4" s="175"/>
      <c r="B4" s="103"/>
      <c r="C4" s="103"/>
      <c r="D4" s="178"/>
      <c r="E4" s="104"/>
      <c r="F4" s="105" t="s">
        <v>200</v>
      </c>
      <c r="G4" s="14" t="s">
        <v>201</v>
      </c>
      <c r="H4" s="14"/>
      <c r="I4" s="14" t="s">
        <v>249</v>
      </c>
      <c r="J4" s="106" t="s">
        <v>250</v>
      </c>
      <c r="K4" s="107" t="s">
        <v>171</v>
      </c>
      <c r="L4" s="105" t="s">
        <v>200</v>
      </c>
      <c r="M4" s="14" t="s">
        <v>201</v>
      </c>
      <c r="N4" s="14"/>
      <c r="O4" s="14" t="s">
        <v>249</v>
      </c>
      <c r="P4" s="106" t="s">
        <v>250</v>
      </c>
      <c r="Q4" s="107" t="s">
        <v>171</v>
      </c>
      <c r="R4" s="105" t="s">
        <v>200</v>
      </c>
      <c r="S4" s="14" t="s">
        <v>201</v>
      </c>
      <c r="T4" s="14"/>
      <c r="U4" s="14" t="s">
        <v>249</v>
      </c>
      <c r="V4" s="106" t="s">
        <v>250</v>
      </c>
      <c r="W4" s="107" t="s">
        <v>171</v>
      </c>
      <c r="X4" s="181"/>
      <c r="Y4" s="172"/>
    </row>
    <row r="5" spans="1:25" ht="14.7" thickBot="1">
      <c r="A5" s="176"/>
      <c r="B5" s="103"/>
      <c r="C5" s="103"/>
      <c r="D5" s="179"/>
      <c r="E5" s="104"/>
      <c r="F5" s="108"/>
      <c r="G5" s="16"/>
      <c r="H5" s="16"/>
      <c r="I5" s="16"/>
      <c r="J5" s="32"/>
      <c r="K5" s="73"/>
      <c r="L5" s="108"/>
      <c r="M5" s="16"/>
      <c r="N5" s="16"/>
      <c r="O5" s="16"/>
      <c r="P5" s="32"/>
      <c r="Q5" s="73"/>
      <c r="R5" s="108"/>
      <c r="S5" s="16"/>
      <c r="T5" s="16"/>
      <c r="U5" s="16"/>
      <c r="V5" s="32"/>
      <c r="W5" s="73"/>
      <c r="X5" s="182"/>
      <c r="Y5" s="173"/>
    </row>
    <row r="6" spans="1:25">
      <c r="A6" s="109" t="s">
        <v>11</v>
      </c>
      <c r="B6" s="32">
        <v>185</v>
      </c>
      <c r="C6" s="32">
        <v>0.94099999999999995</v>
      </c>
      <c r="D6" s="49">
        <v>0.94099999999999995</v>
      </c>
      <c r="E6" s="110" t="s">
        <v>80</v>
      </c>
      <c r="F6" s="111">
        <f>TIME(8,0,0)</f>
        <v>0.33333333333333331</v>
      </c>
      <c r="G6" s="112">
        <v>0.6288541666666666</v>
      </c>
      <c r="H6" s="112"/>
      <c r="I6" s="112">
        <f>G6-F6</f>
        <v>0.29552083333333329</v>
      </c>
      <c r="J6" s="113">
        <f>D6*I6</f>
        <v>0.2780851041666666</v>
      </c>
      <c r="K6" s="73">
        <v>2</v>
      </c>
      <c r="L6" s="111">
        <v>0.46325231481481483</v>
      </c>
      <c r="M6" s="112">
        <v>0.5826041666666667</v>
      </c>
      <c r="N6" s="112"/>
      <c r="O6" s="112">
        <f>M6-L6</f>
        <v>0.11935185185185188</v>
      </c>
      <c r="P6" s="112">
        <f>D6*O6</f>
        <v>0.11231009259259261</v>
      </c>
      <c r="Q6" s="73">
        <v>3</v>
      </c>
      <c r="R6" s="111">
        <v>0.42635416666666665</v>
      </c>
      <c r="S6" s="97">
        <v>0.64186342592592593</v>
      </c>
      <c r="T6" s="114"/>
      <c r="U6" s="112">
        <f>S6-R6</f>
        <v>0.21550925925925929</v>
      </c>
      <c r="V6" s="99">
        <f>D6*U6</f>
        <v>0.20279421296296299</v>
      </c>
      <c r="W6" s="73">
        <v>4</v>
      </c>
      <c r="X6" s="115">
        <f t="shared" ref="X6:X11" si="0">K6+Q6+W6</f>
        <v>9</v>
      </c>
      <c r="Y6" s="45" t="s">
        <v>188</v>
      </c>
    </row>
    <row r="7" spans="1:25">
      <c r="A7" s="109" t="s">
        <v>55</v>
      </c>
      <c r="B7" s="32" t="s">
        <v>82</v>
      </c>
      <c r="C7" s="32">
        <v>0.96</v>
      </c>
      <c r="D7" s="49">
        <v>0.98</v>
      </c>
      <c r="E7" s="110" t="s">
        <v>57</v>
      </c>
      <c r="F7" s="111">
        <f>TIME(8,0,0)</f>
        <v>0.33333333333333331</v>
      </c>
      <c r="G7" s="112">
        <v>0.53593750000000007</v>
      </c>
      <c r="H7" s="112"/>
      <c r="I7" s="112">
        <f>G7-F7</f>
        <v>0.20260416666666675</v>
      </c>
      <c r="J7" s="113">
        <f>D7*I7</f>
        <v>0.19855208333333341</v>
      </c>
      <c r="K7" s="73">
        <v>1</v>
      </c>
      <c r="L7" s="111">
        <v>0.47187499999999999</v>
      </c>
      <c r="M7" s="112">
        <v>0.5513541666666667</v>
      </c>
      <c r="N7" s="112"/>
      <c r="O7" s="112">
        <f>M7-L7</f>
        <v>7.9479166666666712E-2</v>
      </c>
      <c r="P7" s="112">
        <f>D7*O7</f>
        <v>7.7889583333333373E-2</v>
      </c>
      <c r="Q7" s="73">
        <v>1</v>
      </c>
      <c r="R7" s="111">
        <v>0.42072916666666665</v>
      </c>
      <c r="S7" s="97">
        <v>0.6071643518518518</v>
      </c>
      <c r="T7" s="32"/>
      <c r="U7" s="112">
        <f>S7-R7</f>
        <v>0.18643518518518515</v>
      </c>
      <c r="V7" s="99">
        <f>D7*U7</f>
        <v>0.18270648148148144</v>
      </c>
      <c r="W7" s="73">
        <v>1</v>
      </c>
      <c r="X7" s="115">
        <f t="shared" si="0"/>
        <v>3</v>
      </c>
      <c r="Y7" s="45">
        <v>1</v>
      </c>
    </row>
    <row r="8" spans="1:25">
      <c r="A8" s="108" t="s">
        <v>60</v>
      </c>
      <c r="B8" s="116" t="s">
        <v>95</v>
      </c>
      <c r="C8" s="32">
        <v>0.96199999999999997</v>
      </c>
      <c r="D8" s="47">
        <v>0.77700000000000002</v>
      </c>
      <c r="E8" s="110" t="s">
        <v>57</v>
      </c>
      <c r="F8" s="111">
        <f>TIME(8,0,0)</f>
        <v>0.33333333333333331</v>
      </c>
      <c r="G8" s="112" t="s">
        <v>251</v>
      </c>
      <c r="H8" s="112" t="s">
        <v>251</v>
      </c>
      <c r="I8" s="112" t="s">
        <v>251</v>
      </c>
      <c r="J8" s="112" t="s">
        <v>251</v>
      </c>
      <c r="K8" s="73">
        <v>5</v>
      </c>
      <c r="L8" s="117" t="s">
        <v>174</v>
      </c>
      <c r="M8" s="112" t="s">
        <v>174</v>
      </c>
      <c r="N8" s="112" t="s">
        <v>174</v>
      </c>
      <c r="O8" s="112" t="s">
        <v>174</v>
      </c>
      <c r="P8" s="112" t="s">
        <v>174</v>
      </c>
      <c r="Q8" s="73">
        <v>7</v>
      </c>
      <c r="R8" s="111">
        <v>0.42222222222222222</v>
      </c>
      <c r="S8" s="97">
        <v>0.67326388888888899</v>
      </c>
      <c r="T8" s="32"/>
      <c r="U8" s="112">
        <f>S8-R8</f>
        <v>0.25104166666666677</v>
      </c>
      <c r="V8" s="99">
        <f>D8*U8</f>
        <v>0.19505937500000009</v>
      </c>
      <c r="W8" s="73">
        <v>3</v>
      </c>
      <c r="X8" s="115">
        <f t="shared" si="0"/>
        <v>15</v>
      </c>
      <c r="Y8" s="45">
        <v>4</v>
      </c>
    </row>
    <row r="9" spans="1:25">
      <c r="A9" s="109" t="s">
        <v>35</v>
      </c>
      <c r="B9" s="32" t="s">
        <v>85</v>
      </c>
      <c r="C9" s="32"/>
      <c r="D9" s="49">
        <v>0.9</v>
      </c>
      <c r="E9" s="110" t="s">
        <v>57</v>
      </c>
      <c r="F9" s="117" t="s">
        <v>174</v>
      </c>
      <c r="G9" s="112" t="s">
        <v>174</v>
      </c>
      <c r="H9" s="112" t="s">
        <v>174</v>
      </c>
      <c r="I9" s="112" t="s">
        <v>174</v>
      </c>
      <c r="J9" s="112" t="s">
        <v>174</v>
      </c>
      <c r="K9" s="118">
        <v>7</v>
      </c>
      <c r="L9" s="117" t="s">
        <v>174</v>
      </c>
      <c r="M9" s="112" t="s">
        <v>174</v>
      </c>
      <c r="N9" s="112" t="s">
        <v>174</v>
      </c>
      <c r="O9" s="112" t="s">
        <v>174</v>
      </c>
      <c r="P9" s="112" t="s">
        <v>174</v>
      </c>
      <c r="Q9" s="118">
        <v>7</v>
      </c>
      <c r="R9" s="117" t="s">
        <v>174</v>
      </c>
      <c r="S9" s="112" t="s">
        <v>174</v>
      </c>
      <c r="T9" s="112" t="s">
        <v>174</v>
      </c>
      <c r="U9" s="112" t="s">
        <v>174</v>
      </c>
      <c r="V9" s="112" t="s">
        <v>174</v>
      </c>
      <c r="W9" s="118">
        <v>7</v>
      </c>
      <c r="X9" s="115">
        <f t="shared" si="0"/>
        <v>21</v>
      </c>
      <c r="Y9" s="45" t="s">
        <v>252</v>
      </c>
    </row>
    <row r="10" spans="1:25">
      <c r="A10" s="109" t="s">
        <v>33</v>
      </c>
      <c r="B10" s="32" t="s">
        <v>78</v>
      </c>
      <c r="C10" s="32"/>
      <c r="D10" s="49">
        <v>0.79100000000000004</v>
      </c>
      <c r="E10" s="110" t="s">
        <v>57</v>
      </c>
      <c r="F10" s="117" t="s">
        <v>174</v>
      </c>
      <c r="G10" s="112" t="s">
        <v>174</v>
      </c>
      <c r="H10" s="112" t="s">
        <v>174</v>
      </c>
      <c r="I10" s="112" t="s">
        <v>174</v>
      </c>
      <c r="J10" s="112" t="s">
        <v>174</v>
      </c>
      <c r="K10" s="118">
        <v>7</v>
      </c>
      <c r="L10" s="117" t="s">
        <v>174</v>
      </c>
      <c r="M10" s="112" t="s">
        <v>174</v>
      </c>
      <c r="N10" s="112" t="s">
        <v>174</v>
      </c>
      <c r="O10" s="112" t="s">
        <v>174</v>
      </c>
      <c r="P10" s="112" t="s">
        <v>174</v>
      </c>
      <c r="Q10" s="118">
        <v>7</v>
      </c>
      <c r="R10" s="117" t="s">
        <v>174</v>
      </c>
      <c r="S10" s="112" t="s">
        <v>174</v>
      </c>
      <c r="T10" s="112" t="s">
        <v>174</v>
      </c>
      <c r="U10" s="112" t="s">
        <v>174</v>
      </c>
      <c r="V10" s="112" t="s">
        <v>174</v>
      </c>
      <c r="W10" s="118">
        <v>7</v>
      </c>
      <c r="X10" s="115">
        <f t="shared" si="0"/>
        <v>21</v>
      </c>
      <c r="Y10" s="45" t="s">
        <v>252</v>
      </c>
    </row>
    <row r="11" spans="1:25" ht="14.7" thickBot="1">
      <c r="A11" s="119" t="s">
        <v>10</v>
      </c>
      <c r="B11" s="120" t="s">
        <v>99</v>
      </c>
      <c r="C11" s="121"/>
      <c r="D11" s="122">
        <v>0.94899999999999995</v>
      </c>
      <c r="E11" s="110" t="s">
        <v>57</v>
      </c>
      <c r="F11" s="111">
        <f>TIME(8,0,0)</f>
        <v>0.33333333333333331</v>
      </c>
      <c r="G11" s="112" t="s">
        <v>251</v>
      </c>
      <c r="H11" s="112" t="s">
        <v>251</v>
      </c>
      <c r="I11" s="112" t="s">
        <v>251</v>
      </c>
      <c r="J11" s="112" t="s">
        <v>251</v>
      </c>
      <c r="K11" s="123">
        <v>5</v>
      </c>
      <c r="L11" s="111">
        <v>0.47187499999999999</v>
      </c>
      <c r="M11" s="124">
        <v>0.569849537037037</v>
      </c>
      <c r="N11" s="124"/>
      <c r="O11" s="112">
        <f>M11-L11</f>
        <v>9.7974537037037013E-2</v>
      </c>
      <c r="P11" s="124">
        <f>D11*O11</f>
        <v>9.2977835648148127E-2</v>
      </c>
      <c r="Q11" s="123">
        <v>2</v>
      </c>
      <c r="R11" s="111">
        <v>0.42473379629629626</v>
      </c>
      <c r="S11" s="125">
        <v>0.6251620370370371</v>
      </c>
      <c r="T11" s="121"/>
      <c r="U11" s="112">
        <f>S11-R11</f>
        <v>0.20042824074074084</v>
      </c>
      <c r="V11" s="99">
        <f>D11*U11</f>
        <v>0.19020640046296305</v>
      </c>
      <c r="W11" s="123">
        <v>2</v>
      </c>
      <c r="X11" s="115">
        <f t="shared" si="0"/>
        <v>9</v>
      </c>
      <c r="Y11" s="126" t="s">
        <v>188</v>
      </c>
    </row>
  </sheetData>
  <mergeCells count="7">
    <mergeCell ref="Y3:Y5"/>
    <mergeCell ref="A3:A5"/>
    <mergeCell ref="D3:D5"/>
    <mergeCell ref="F3:K3"/>
    <mergeCell ref="L3:Q3"/>
    <mergeCell ref="R3:W3"/>
    <mergeCell ref="X3:X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15" sqref="D15"/>
    </sheetView>
  </sheetViews>
  <sheetFormatPr defaultRowHeight="14.4"/>
  <cols>
    <col min="3" max="3" width="13.47265625" customWidth="1"/>
    <col min="6" max="6" width="11" customWidth="1"/>
  </cols>
  <sheetData>
    <row r="1" spans="1:11">
      <c r="A1" s="5"/>
      <c r="B1" s="5"/>
      <c r="C1" s="5"/>
      <c r="D1" s="5"/>
      <c r="E1" s="5"/>
      <c r="F1" s="5"/>
    </row>
    <row r="2" spans="1:11" ht="18.3">
      <c r="A2" s="183" t="s">
        <v>253</v>
      </c>
      <c r="B2" s="184"/>
      <c r="C2" s="184"/>
      <c r="D2" s="184"/>
      <c r="E2" s="184"/>
      <c r="F2" s="185"/>
      <c r="G2" s="9"/>
      <c r="H2" s="9"/>
      <c r="I2" s="9"/>
      <c r="J2" s="9"/>
      <c r="K2" s="9"/>
    </row>
    <row r="3" spans="1:11" ht="28.8">
      <c r="A3" s="15" t="s">
        <v>0</v>
      </c>
      <c r="B3" s="15" t="s">
        <v>1</v>
      </c>
      <c r="C3" s="15" t="s">
        <v>8</v>
      </c>
      <c r="D3" s="15" t="s">
        <v>76</v>
      </c>
      <c r="E3" s="15" t="s">
        <v>254</v>
      </c>
      <c r="F3" s="15" t="s">
        <v>255</v>
      </c>
      <c r="G3" s="14" t="s">
        <v>103</v>
      </c>
      <c r="H3" s="14" t="s">
        <v>104</v>
      </c>
      <c r="I3" s="14" t="s">
        <v>105</v>
      </c>
      <c r="J3" s="15" t="s">
        <v>170</v>
      </c>
      <c r="K3" s="15" t="s">
        <v>106</v>
      </c>
    </row>
    <row r="4" spans="1:11">
      <c r="A4" s="127"/>
      <c r="B4" s="127"/>
      <c r="C4" s="127"/>
      <c r="D4" s="127"/>
      <c r="E4" s="127"/>
      <c r="F4" s="15"/>
      <c r="G4" s="92"/>
      <c r="H4" s="92"/>
      <c r="I4" s="14"/>
      <c r="J4" s="14"/>
      <c r="K4" s="14"/>
    </row>
    <row r="5" spans="1:11">
      <c r="A5" s="17" t="s">
        <v>256</v>
      </c>
      <c r="B5" s="18"/>
      <c r="C5" s="18"/>
      <c r="D5" s="18"/>
      <c r="E5" s="18"/>
      <c r="F5" s="16"/>
      <c r="G5" s="92"/>
      <c r="H5" s="92"/>
      <c r="I5" s="9"/>
      <c r="J5" s="9"/>
      <c r="K5" s="9"/>
    </row>
    <row r="6" spans="1:11">
      <c r="A6" s="13" t="s">
        <v>257</v>
      </c>
      <c r="B6" s="13" t="s">
        <v>258</v>
      </c>
      <c r="C6" s="13" t="s">
        <v>23</v>
      </c>
      <c r="D6" s="13" t="s">
        <v>129</v>
      </c>
      <c r="E6" s="30" t="s">
        <v>79</v>
      </c>
      <c r="F6" s="18">
        <v>0.89600000000000002</v>
      </c>
      <c r="G6" s="92">
        <f t="shared" ref="G6:G11" si="0">TIME(10,0,0)</f>
        <v>0.41666666666666669</v>
      </c>
      <c r="H6" s="92">
        <f>TIME(12,28,40)</f>
        <v>0.51990740740740737</v>
      </c>
      <c r="I6" s="99">
        <f t="shared" ref="I6:I11" si="1">H6-G6</f>
        <v>0.10324074074074069</v>
      </c>
      <c r="J6" s="99">
        <f t="shared" ref="J6:J11" si="2">I6*F6</f>
        <v>9.2503703703703657E-2</v>
      </c>
      <c r="K6" s="17">
        <v>5</v>
      </c>
    </row>
    <row r="7" spans="1:11">
      <c r="A7" s="13" t="s">
        <v>259</v>
      </c>
      <c r="B7" s="13" t="s">
        <v>24</v>
      </c>
      <c r="C7" s="13" t="s">
        <v>55</v>
      </c>
      <c r="D7" s="13" t="s">
        <v>130</v>
      </c>
      <c r="E7" s="30" t="s">
        <v>82</v>
      </c>
      <c r="F7" s="18">
        <v>0.98</v>
      </c>
      <c r="G7" s="92">
        <f t="shared" si="0"/>
        <v>0.41666666666666669</v>
      </c>
      <c r="H7" s="92">
        <f>TIME(12,1,42)</f>
        <v>0.50118055555555563</v>
      </c>
      <c r="I7" s="99">
        <f t="shared" si="1"/>
        <v>8.4513888888888944E-2</v>
      </c>
      <c r="J7" s="99">
        <f t="shared" si="2"/>
        <v>8.2823611111111167E-2</v>
      </c>
      <c r="K7" s="17">
        <v>4</v>
      </c>
    </row>
    <row r="8" spans="1:11">
      <c r="A8" s="13" t="s">
        <v>260</v>
      </c>
      <c r="B8" s="13" t="s">
        <v>42</v>
      </c>
      <c r="C8" s="13" t="s">
        <v>154</v>
      </c>
      <c r="D8" s="13" t="s">
        <v>155</v>
      </c>
      <c r="E8" s="30" t="s">
        <v>163</v>
      </c>
      <c r="F8" s="18">
        <v>1.0860000000000001</v>
      </c>
      <c r="G8" s="92">
        <f t="shared" si="0"/>
        <v>0.41666666666666669</v>
      </c>
      <c r="H8" s="92">
        <f>TIME(11,44,11)</f>
        <v>0.48901620370370374</v>
      </c>
      <c r="I8" s="99">
        <f t="shared" si="1"/>
        <v>7.2349537037037059E-2</v>
      </c>
      <c r="J8" s="99">
        <f t="shared" si="2"/>
        <v>7.8571597222222248E-2</v>
      </c>
      <c r="K8" s="17">
        <v>1</v>
      </c>
    </row>
    <row r="9" spans="1:11">
      <c r="A9" s="13" t="s">
        <v>261</v>
      </c>
      <c r="B9" s="13" t="s">
        <v>42</v>
      </c>
      <c r="C9" s="13" t="s">
        <v>54</v>
      </c>
      <c r="D9" s="13" t="s">
        <v>132</v>
      </c>
      <c r="E9" s="30" t="s">
        <v>98</v>
      </c>
      <c r="F9" s="18">
        <v>1.034</v>
      </c>
      <c r="G9" s="92">
        <f t="shared" si="0"/>
        <v>0.41666666666666669</v>
      </c>
      <c r="H9" s="92">
        <f>TIME(11,53,9)</f>
        <v>0.49524305555555559</v>
      </c>
      <c r="I9" s="99">
        <f t="shared" si="1"/>
        <v>7.8576388888888904E-2</v>
      </c>
      <c r="J9" s="99">
        <f t="shared" si="2"/>
        <v>8.1247986111111128E-2</v>
      </c>
      <c r="K9" s="17">
        <v>3</v>
      </c>
    </row>
    <row r="10" spans="1:11">
      <c r="A10" s="13" t="s">
        <v>262</v>
      </c>
      <c r="B10" s="36" t="s">
        <v>263</v>
      </c>
      <c r="C10" s="13" t="s">
        <v>122</v>
      </c>
      <c r="D10" s="13" t="s">
        <v>139</v>
      </c>
      <c r="E10" s="30" t="s">
        <v>123</v>
      </c>
      <c r="F10" s="18">
        <v>0.88</v>
      </c>
      <c r="G10" s="92">
        <f t="shared" si="0"/>
        <v>0.41666666666666669</v>
      </c>
      <c r="H10" s="92">
        <f>TIME(12,11,35)</f>
        <v>0.50804398148148155</v>
      </c>
      <c r="I10" s="99">
        <f t="shared" si="1"/>
        <v>9.137731481481487E-2</v>
      </c>
      <c r="J10" s="99">
        <f t="shared" si="2"/>
        <v>8.0412037037037087E-2</v>
      </c>
      <c r="K10" s="17">
        <v>2</v>
      </c>
    </row>
    <row r="11" spans="1:11">
      <c r="A11" s="13" t="s">
        <v>264</v>
      </c>
      <c r="B11" s="36" t="s">
        <v>265</v>
      </c>
      <c r="C11" s="13" t="s">
        <v>60</v>
      </c>
      <c r="D11" s="13" t="s">
        <v>141</v>
      </c>
      <c r="E11" s="30" t="s">
        <v>81</v>
      </c>
      <c r="F11" s="18">
        <v>0.77700000000000002</v>
      </c>
      <c r="G11" s="92">
        <f t="shared" si="0"/>
        <v>0.41666666666666669</v>
      </c>
      <c r="H11" s="92">
        <f>TIME(13,16,15)</f>
        <v>0.55295138888888895</v>
      </c>
      <c r="I11" s="99">
        <f t="shared" si="1"/>
        <v>0.13628472222222227</v>
      </c>
      <c r="J11" s="99">
        <f t="shared" si="2"/>
        <v>0.1058932291666667</v>
      </c>
      <c r="K11" s="17">
        <v>6</v>
      </c>
    </row>
  </sheetData>
  <mergeCells count="1"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activeCell="I13" sqref="I13"/>
    </sheetView>
  </sheetViews>
  <sheetFormatPr defaultRowHeight="14.4"/>
  <cols>
    <col min="2" max="2" width="12.26171875" customWidth="1"/>
    <col min="3" max="3" width="13.62890625" customWidth="1"/>
    <col min="4" max="4" width="19.41796875" customWidth="1"/>
    <col min="5" max="5" width="10.578125" customWidth="1"/>
    <col min="12" max="16" width="0" hidden="1" customWidth="1"/>
    <col min="18" max="20" width="0" hidden="1" customWidth="1"/>
  </cols>
  <sheetData>
    <row r="1" spans="1:21" ht="18.3">
      <c r="A1" s="24" t="s">
        <v>266</v>
      </c>
      <c r="B1" s="24"/>
      <c r="C1" s="24"/>
      <c r="D1" s="24"/>
      <c r="E1" s="25"/>
      <c r="F1" s="26"/>
      <c r="G1" s="26"/>
      <c r="H1" s="26"/>
      <c r="I1" s="26"/>
      <c r="J1" s="128"/>
      <c r="K1" s="128"/>
      <c r="L1" s="24"/>
      <c r="M1" s="24"/>
      <c r="N1" s="24"/>
      <c r="O1" s="24"/>
      <c r="P1" s="24"/>
      <c r="Q1" s="24"/>
      <c r="R1" s="129"/>
      <c r="S1" s="129"/>
      <c r="T1" s="129"/>
      <c r="U1" s="130"/>
    </row>
    <row r="2" spans="1:21" ht="72">
      <c r="A2" s="1" t="s">
        <v>0</v>
      </c>
      <c r="B2" s="1" t="s">
        <v>1</v>
      </c>
      <c r="C2" s="1" t="s">
        <v>8</v>
      </c>
      <c r="D2" s="1" t="s">
        <v>110</v>
      </c>
      <c r="E2" s="131" t="s">
        <v>76</v>
      </c>
      <c r="F2" s="65" t="s">
        <v>75</v>
      </c>
      <c r="G2" s="65" t="s">
        <v>73</v>
      </c>
      <c r="H2" s="65" t="s">
        <v>74</v>
      </c>
      <c r="I2" s="65" t="s">
        <v>101</v>
      </c>
      <c r="J2" s="132" t="s">
        <v>267</v>
      </c>
      <c r="K2" s="132" t="s">
        <v>268</v>
      </c>
      <c r="L2" s="133" t="s">
        <v>269</v>
      </c>
      <c r="M2" s="133" t="s">
        <v>103</v>
      </c>
      <c r="N2" s="133" t="s">
        <v>104</v>
      </c>
      <c r="O2" s="133" t="s">
        <v>105</v>
      </c>
      <c r="P2" s="133" t="s">
        <v>170</v>
      </c>
      <c r="Q2" s="134" t="s">
        <v>270</v>
      </c>
      <c r="R2" s="135" t="s">
        <v>271</v>
      </c>
      <c r="S2" s="135" t="s">
        <v>272</v>
      </c>
      <c r="T2" s="135" t="s">
        <v>273</v>
      </c>
      <c r="U2" s="136" t="s">
        <v>274</v>
      </c>
    </row>
    <row r="3" spans="1:21">
      <c r="A3" s="1" t="s">
        <v>38</v>
      </c>
      <c r="E3" s="7"/>
      <c r="F3" s="5"/>
      <c r="G3" s="5"/>
      <c r="H3" s="5"/>
      <c r="I3" s="5"/>
      <c r="J3" s="6"/>
      <c r="K3" s="6"/>
      <c r="Q3" s="137"/>
      <c r="R3" s="3"/>
      <c r="S3" s="3"/>
      <c r="T3" s="3"/>
      <c r="U3" s="138"/>
    </row>
    <row r="4" spans="1:21">
      <c r="A4" s="1" t="s">
        <v>21</v>
      </c>
      <c r="B4" s="1" t="s">
        <v>36</v>
      </c>
      <c r="C4" s="1" t="s">
        <v>32</v>
      </c>
      <c r="D4" s="1" t="s">
        <v>125</v>
      </c>
      <c r="E4" s="131" t="s">
        <v>83</v>
      </c>
      <c r="F4" s="132">
        <v>0.86699999999999999</v>
      </c>
      <c r="G4" s="132">
        <v>0.88900000000000001</v>
      </c>
      <c r="H4" s="142"/>
      <c r="I4" s="65" t="s">
        <v>57</v>
      </c>
      <c r="J4" s="132">
        <v>25</v>
      </c>
      <c r="K4" s="132">
        <v>7.6</v>
      </c>
      <c r="L4" s="139">
        <f>TIME(2,0,0)</f>
        <v>8.3333333333333329E-2</v>
      </c>
      <c r="M4" s="139">
        <f>TIME(10,0,0)</f>
        <v>0.41666666666666669</v>
      </c>
      <c r="N4" s="139">
        <f>L4+M4</f>
        <v>0.5</v>
      </c>
      <c r="O4" s="139">
        <f>N4-M4</f>
        <v>8.3333333333333315E-2</v>
      </c>
      <c r="P4" s="139">
        <f>O4*G4</f>
        <v>7.408333333333332E-2</v>
      </c>
      <c r="Q4" s="140">
        <f>M4+T4-(R4+(O4-P4)-O4)</f>
        <v>0.42600462962962965</v>
      </c>
      <c r="R4" s="139">
        <f>TIME(2,10,19)</f>
        <v>9.0497685185185181E-2</v>
      </c>
      <c r="S4" s="139">
        <f>TIME(1,33,14)</f>
        <v>6.474537037037037E-2</v>
      </c>
      <c r="T4" s="139">
        <f>TIME(0,37,5)</f>
        <v>2.5752314814814815E-2</v>
      </c>
      <c r="U4" s="141">
        <v>2</v>
      </c>
    </row>
    <row r="5" spans="1:21">
      <c r="A5" s="1" t="s">
        <v>152</v>
      </c>
      <c r="B5" s="1" t="s">
        <v>24</v>
      </c>
      <c r="C5" s="1" t="s">
        <v>55</v>
      </c>
      <c r="D5" s="1" t="s">
        <v>130</v>
      </c>
      <c r="E5" s="131" t="s">
        <v>82</v>
      </c>
      <c r="F5" s="132">
        <v>0.95899999999999996</v>
      </c>
      <c r="G5" s="132">
        <v>0.98</v>
      </c>
      <c r="H5" s="142"/>
      <c r="I5" s="65" t="s">
        <v>57</v>
      </c>
      <c r="J5" s="132">
        <v>37</v>
      </c>
      <c r="K5" s="132">
        <v>11.4</v>
      </c>
      <c r="L5" s="139">
        <f>TIME(2,0,0)</f>
        <v>8.3333333333333329E-2</v>
      </c>
      <c r="M5" s="139">
        <f>TIME(10,0,0)</f>
        <v>0.41666666666666669</v>
      </c>
      <c r="N5" s="139">
        <f>L5+M5</f>
        <v>0.5</v>
      </c>
      <c r="O5" s="139">
        <f>N5-M5</f>
        <v>8.3333333333333315E-2</v>
      </c>
      <c r="P5" s="139">
        <f>O5*G5</f>
        <v>8.1666666666666651E-2</v>
      </c>
      <c r="Q5" s="140">
        <f>M5+T5-(R5+(O5-P5)-O5)</f>
        <v>0.43358796296296298</v>
      </c>
      <c r="R5" s="139">
        <f>TIME(2,10,19)</f>
        <v>9.0497685185185181E-2</v>
      </c>
      <c r="S5" s="139">
        <f>TIME(1,33,14)</f>
        <v>6.474537037037037E-2</v>
      </c>
      <c r="T5" s="139">
        <f>TIME(0,37,5)</f>
        <v>2.5752314814814815E-2</v>
      </c>
      <c r="U5" s="141">
        <v>1</v>
      </c>
    </row>
    <row r="6" spans="1:21">
      <c r="A6" s="4" t="s">
        <v>26</v>
      </c>
      <c r="B6" s="4" t="s">
        <v>45</v>
      </c>
      <c r="C6" s="4" t="s">
        <v>46</v>
      </c>
      <c r="D6" s="4" t="s">
        <v>137</v>
      </c>
      <c r="E6" s="143">
        <v>128</v>
      </c>
      <c r="F6" s="132"/>
      <c r="G6" s="142">
        <v>0.79900000000000004</v>
      </c>
      <c r="H6" s="132">
        <v>0.79900000000000004</v>
      </c>
      <c r="I6" s="132" t="s">
        <v>57</v>
      </c>
      <c r="J6" s="132">
        <v>31</v>
      </c>
      <c r="K6" s="132">
        <v>9.5</v>
      </c>
      <c r="L6" s="139">
        <f>TIME(2,0,0)</f>
        <v>8.3333333333333329E-2</v>
      </c>
      <c r="M6" s="139">
        <f>TIME(10,0,0)</f>
        <v>0.41666666666666669</v>
      </c>
      <c r="N6" s="139">
        <f>L6+M6</f>
        <v>0.5</v>
      </c>
      <c r="O6" s="139">
        <f>N6-M6</f>
        <v>8.3333333333333315E-2</v>
      </c>
      <c r="P6" s="139">
        <f>O6*G6</f>
        <v>6.6583333333333328E-2</v>
      </c>
      <c r="Q6" s="140">
        <f>M6+T6-(R6+(O6-P6)-O6)</f>
        <v>0.41850462962962964</v>
      </c>
      <c r="R6" s="139">
        <f>TIME(2,10,19)</f>
        <v>9.0497685185185181E-2</v>
      </c>
      <c r="S6" s="139">
        <f>TIME(1,33,14)</f>
        <v>6.474537037037037E-2</v>
      </c>
      <c r="T6" s="139">
        <f>TIME(0,37,5)</f>
        <v>2.5752314814814815E-2</v>
      </c>
      <c r="U6" s="141">
        <v>4</v>
      </c>
    </row>
    <row r="7" spans="1:21">
      <c r="A7" s="1" t="s">
        <v>120</v>
      </c>
      <c r="B7" s="145" t="s">
        <v>121</v>
      </c>
      <c r="C7" s="1" t="s">
        <v>122</v>
      </c>
      <c r="D7" s="1" t="s">
        <v>139</v>
      </c>
      <c r="E7" s="131" t="s">
        <v>123</v>
      </c>
      <c r="F7" s="132"/>
      <c r="G7" s="132">
        <v>0.88</v>
      </c>
      <c r="H7" s="142"/>
      <c r="I7" s="65" t="s">
        <v>57</v>
      </c>
      <c r="J7" s="132">
        <v>27</v>
      </c>
      <c r="K7" s="132">
        <v>8.1999999999999993</v>
      </c>
      <c r="L7" s="139">
        <f>TIME(2,0,0)</f>
        <v>8.3333333333333329E-2</v>
      </c>
      <c r="M7" s="139">
        <f>TIME(10,0,0)</f>
        <v>0.41666666666666669</v>
      </c>
      <c r="N7" s="139">
        <f>L7+M7</f>
        <v>0.5</v>
      </c>
      <c r="O7" s="139">
        <f>N7-M7</f>
        <v>8.3333333333333315E-2</v>
      </c>
      <c r="P7" s="139">
        <f>O7*G7</f>
        <v>7.333333333333332E-2</v>
      </c>
      <c r="Q7" s="140">
        <f>M7+T7-(R7+(O7-P7)-O7)</f>
        <v>0.42525462962962968</v>
      </c>
      <c r="R7" s="139">
        <f>TIME(2,10,19)</f>
        <v>9.0497685185185181E-2</v>
      </c>
      <c r="S7" s="139">
        <f>TIME(1,33,14)</f>
        <v>6.474537037037037E-2</v>
      </c>
      <c r="T7" s="139">
        <f>TIME(0,37,5)</f>
        <v>2.5752314814814815E-2</v>
      </c>
      <c r="U7" s="141">
        <v>3</v>
      </c>
    </row>
    <row r="8" spans="1:21">
      <c r="A8" s="1" t="s">
        <v>58</v>
      </c>
      <c r="B8" s="145" t="s">
        <v>56</v>
      </c>
      <c r="C8" s="1" t="s">
        <v>60</v>
      </c>
      <c r="D8" s="1" t="s">
        <v>141</v>
      </c>
      <c r="E8" s="131" t="s">
        <v>81</v>
      </c>
      <c r="F8" s="132"/>
      <c r="G8" s="132">
        <v>0.77700000000000002</v>
      </c>
      <c r="H8" s="142">
        <v>0.77700000000000002</v>
      </c>
      <c r="I8" s="65" t="s">
        <v>57</v>
      </c>
      <c r="J8" s="132">
        <v>27</v>
      </c>
      <c r="K8" s="132">
        <v>8.23</v>
      </c>
      <c r="L8" s="139">
        <f>TIME(2,0,0)</f>
        <v>8.3333333333333329E-2</v>
      </c>
      <c r="M8" s="139">
        <f>TIME(10,0,0)</f>
        <v>0.41666666666666669</v>
      </c>
      <c r="N8" s="139">
        <f>L8+M8</f>
        <v>0.5</v>
      </c>
      <c r="O8" s="139">
        <f>N8-M8</f>
        <v>8.3333333333333315E-2</v>
      </c>
      <c r="P8" s="139">
        <f>O8*G8</f>
        <v>6.4749999999999988E-2</v>
      </c>
      <c r="Q8" s="140">
        <f>M8+T8-(R8+(O8-P8)-O8)</f>
        <v>0.41667129629629629</v>
      </c>
      <c r="R8" s="139">
        <f>TIME(2,10,19)</f>
        <v>9.0497685185185181E-2</v>
      </c>
      <c r="S8" s="139">
        <f>TIME(1,33,14)</f>
        <v>6.474537037037037E-2</v>
      </c>
      <c r="T8" s="139">
        <f>TIME(0,37,5)</f>
        <v>2.5752314814814815E-2</v>
      </c>
      <c r="U8" s="141">
        <v>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workbookViewId="0"/>
  </sheetViews>
  <sheetFormatPr defaultRowHeight="14.4"/>
  <cols>
    <col min="3" max="3" width="12.3671875" customWidth="1"/>
    <col min="4" max="4" width="22" customWidth="1"/>
    <col min="5" max="5" width="11.1015625" customWidth="1"/>
    <col min="10" max="10" width="10.89453125" customWidth="1"/>
    <col min="11" max="11" width="10.20703125" customWidth="1"/>
    <col min="12" max="12" width="11" customWidth="1"/>
  </cols>
  <sheetData>
    <row r="1" spans="1:16" ht="18.3">
      <c r="A1" s="24" t="s">
        <v>275</v>
      </c>
      <c r="B1" s="24"/>
      <c r="C1" s="26"/>
      <c r="D1" s="26"/>
      <c r="E1" s="26"/>
      <c r="F1" s="26"/>
      <c r="G1" s="26"/>
      <c r="H1" s="26"/>
      <c r="I1" s="24"/>
      <c r="J1" s="24"/>
      <c r="K1" s="24"/>
      <c r="L1" s="24"/>
      <c r="M1" s="24"/>
      <c r="N1" s="26"/>
      <c r="O1" s="146"/>
      <c r="P1" s="26"/>
    </row>
    <row r="2" spans="1:16" ht="43.2">
      <c r="A2" s="1" t="s">
        <v>0</v>
      </c>
      <c r="B2" s="1" t="s">
        <v>1</v>
      </c>
      <c r="C2" s="65" t="s">
        <v>8</v>
      </c>
      <c r="D2" s="65" t="s">
        <v>110</v>
      </c>
      <c r="E2" s="65" t="s">
        <v>76</v>
      </c>
      <c r="F2" s="147" t="s">
        <v>276</v>
      </c>
      <c r="G2" s="65" t="s">
        <v>73</v>
      </c>
      <c r="H2" s="65" t="s">
        <v>101</v>
      </c>
      <c r="I2" s="65" t="s">
        <v>103</v>
      </c>
      <c r="J2" s="147" t="s">
        <v>277</v>
      </c>
      <c r="K2" s="65" t="s">
        <v>104</v>
      </c>
      <c r="L2" s="65" t="s">
        <v>105</v>
      </c>
      <c r="M2" s="147" t="s">
        <v>205</v>
      </c>
      <c r="N2" s="147" t="s">
        <v>206</v>
      </c>
      <c r="O2" s="148" t="s">
        <v>278</v>
      </c>
      <c r="P2" s="149" t="s">
        <v>279</v>
      </c>
    </row>
    <row r="3" spans="1:16">
      <c r="A3" s="1" t="s">
        <v>38</v>
      </c>
      <c r="C3" s="5"/>
      <c r="D3" s="5"/>
      <c r="E3" s="5"/>
      <c r="F3" s="5"/>
      <c r="G3" s="5"/>
      <c r="H3" s="5"/>
      <c r="N3" s="5"/>
      <c r="O3" s="150"/>
      <c r="P3" s="5"/>
    </row>
    <row r="4" spans="1:16">
      <c r="A4" s="19" t="s">
        <v>213</v>
      </c>
      <c r="B4" s="19" t="s">
        <v>214</v>
      </c>
      <c r="C4" s="6" t="s">
        <v>215</v>
      </c>
      <c r="D4" s="6" t="s">
        <v>216</v>
      </c>
      <c r="E4" s="6" t="s">
        <v>217</v>
      </c>
      <c r="F4" s="6">
        <v>1</v>
      </c>
      <c r="G4" s="6">
        <v>0.99399999999999999</v>
      </c>
      <c r="H4" s="6" t="s">
        <v>102</v>
      </c>
      <c r="I4" s="151">
        <f>TIME(18,40,0)</f>
        <v>0.77777777777777779</v>
      </c>
      <c r="J4" s="151">
        <f t="shared" ref="J4:J12" si="0">TIME(5,20,0)</f>
        <v>0.22222222222222221</v>
      </c>
      <c r="K4" s="139">
        <f>TIME(11,44,28)</f>
        <v>0.48921296296296296</v>
      </c>
      <c r="L4" s="139">
        <f>J4+K4</f>
        <v>0.71143518518518523</v>
      </c>
      <c r="M4" s="139">
        <f t="shared" ref="M4:M12" si="1">F4*L4</f>
        <v>0.71143518518518523</v>
      </c>
      <c r="N4" s="6">
        <v>7</v>
      </c>
      <c r="O4" s="152">
        <f>G4*L4</f>
        <v>0.70716657407407413</v>
      </c>
      <c r="P4" s="6"/>
    </row>
    <row r="5" spans="1:16">
      <c r="A5" s="19" t="s">
        <v>117</v>
      </c>
      <c r="B5" s="19" t="s">
        <v>280</v>
      </c>
      <c r="C5" s="6" t="s">
        <v>281</v>
      </c>
      <c r="D5" s="6" t="s">
        <v>282</v>
      </c>
      <c r="E5" s="6" t="s">
        <v>283</v>
      </c>
      <c r="F5" s="6">
        <v>0.996</v>
      </c>
      <c r="G5" s="6">
        <v>1.008</v>
      </c>
      <c r="H5" s="6" t="s">
        <v>57</v>
      </c>
      <c r="I5" s="151">
        <f t="shared" ref="I5:I12" si="2">TIME(18,40,0)</f>
        <v>0.77777777777777779</v>
      </c>
      <c r="J5" s="151">
        <f t="shared" si="0"/>
        <v>0.22222222222222221</v>
      </c>
      <c r="K5" s="139">
        <f>TIME(10,45,0)</f>
        <v>0.44791666666666669</v>
      </c>
      <c r="L5" s="139">
        <f t="shared" ref="L5:L46" si="3">J5+K5</f>
        <v>0.67013888888888884</v>
      </c>
      <c r="M5" s="139">
        <f t="shared" si="1"/>
        <v>0.66745833333333326</v>
      </c>
      <c r="N5" s="6">
        <v>4</v>
      </c>
      <c r="O5" s="152">
        <f t="shared" ref="O5:O39" si="4">G5*L5</f>
        <v>0.67549999999999999</v>
      </c>
      <c r="P5" s="6"/>
    </row>
    <row r="6" spans="1:16">
      <c r="A6" s="19" t="s">
        <v>284</v>
      </c>
      <c r="B6" s="19" t="s">
        <v>285</v>
      </c>
      <c r="C6" s="6" t="s">
        <v>286</v>
      </c>
      <c r="D6" s="6" t="s">
        <v>287</v>
      </c>
      <c r="E6" s="6" t="s">
        <v>288</v>
      </c>
      <c r="F6" s="6">
        <v>0.99399999999999999</v>
      </c>
      <c r="G6" s="6">
        <v>1.01</v>
      </c>
      <c r="H6" s="6" t="s">
        <v>57</v>
      </c>
      <c r="I6" s="153" t="s">
        <v>174</v>
      </c>
      <c r="J6" s="153" t="s">
        <v>174</v>
      </c>
      <c r="K6" s="153" t="s">
        <v>174</v>
      </c>
      <c r="L6" s="153" t="s">
        <v>174</v>
      </c>
      <c r="M6" s="153" t="s">
        <v>174</v>
      </c>
      <c r="N6" s="154" t="s">
        <v>174</v>
      </c>
      <c r="O6" s="154" t="s">
        <v>174</v>
      </c>
      <c r="P6" s="153" t="s">
        <v>174</v>
      </c>
    </row>
    <row r="7" spans="1:16">
      <c r="A7" s="2" t="s">
        <v>67</v>
      </c>
      <c r="B7" s="2" t="s">
        <v>107</v>
      </c>
      <c r="C7" s="6" t="s">
        <v>108</v>
      </c>
      <c r="D7" s="12" t="s">
        <v>126</v>
      </c>
      <c r="E7" s="6">
        <v>545</v>
      </c>
      <c r="F7" s="6">
        <v>0.85899999999999999</v>
      </c>
      <c r="G7" s="6">
        <v>0.85899999999999999</v>
      </c>
      <c r="H7" s="12" t="s">
        <v>102</v>
      </c>
      <c r="I7" s="153" t="s">
        <v>174</v>
      </c>
      <c r="J7" s="153" t="s">
        <v>174</v>
      </c>
      <c r="K7" s="153" t="s">
        <v>174</v>
      </c>
      <c r="L7" s="153" t="s">
        <v>174</v>
      </c>
      <c r="M7" s="153" t="s">
        <v>174</v>
      </c>
      <c r="N7" s="154" t="s">
        <v>174</v>
      </c>
      <c r="O7" s="154" t="s">
        <v>174</v>
      </c>
      <c r="P7" s="153" t="s">
        <v>174</v>
      </c>
    </row>
    <row r="8" spans="1:16">
      <c r="A8" s="2" t="s">
        <v>191</v>
      </c>
      <c r="B8" s="2" t="s">
        <v>192</v>
      </c>
      <c r="C8" s="12" t="s">
        <v>193</v>
      </c>
      <c r="D8" s="12" t="s">
        <v>194</v>
      </c>
      <c r="E8" s="12" t="s">
        <v>195</v>
      </c>
      <c r="F8" s="6">
        <v>0.99399999999999999</v>
      </c>
      <c r="G8" s="6">
        <v>0.995</v>
      </c>
      <c r="H8" s="12" t="s">
        <v>57</v>
      </c>
      <c r="I8" s="151">
        <f t="shared" si="2"/>
        <v>0.77777777777777779</v>
      </c>
      <c r="J8" s="151">
        <f t="shared" si="0"/>
        <v>0.22222222222222221</v>
      </c>
      <c r="K8" s="139">
        <f>TIME(10,47,50)</f>
        <v>0.44988425925925929</v>
      </c>
      <c r="L8" s="139">
        <f t="shared" si="3"/>
        <v>0.67210648148148144</v>
      </c>
      <c r="M8" s="139">
        <f t="shared" si="1"/>
        <v>0.6680738425925925</v>
      </c>
      <c r="N8" s="12">
        <v>5</v>
      </c>
      <c r="O8" s="152">
        <f t="shared" si="4"/>
        <v>0.66874594907407403</v>
      </c>
      <c r="P8" s="12"/>
    </row>
    <row r="9" spans="1:16">
      <c r="A9" s="2" t="s">
        <v>93</v>
      </c>
      <c r="B9" s="2" t="s">
        <v>94</v>
      </c>
      <c r="C9" s="12" t="s">
        <v>96</v>
      </c>
      <c r="D9" s="12" t="s">
        <v>131</v>
      </c>
      <c r="E9" s="155" t="s">
        <v>95</v>
      </c>
      <c r="F9" s="6">
        <v>0.96199999999999997</v>
      </c>
      <c r="G9" s="6">
        <v>0.98199999999999998</v>
      </c>
      <c r="H9" s="12" t="s">
        <v>57</v>
      </c>
      <c r="I9" s="151">
        <f t="shared" si="2"/>
        <v>0.77777777777777779</v>
      </c>
      <c r="J9" s="151">
        <f t="shared" si="0"/>
        <v>0.22222222222222221</v>
      </c>
      <c r="K9" s="139">
        <f>TIME(11,31,5)</f>
        <v>0.47991898148148149</v>
      </c>
      <c r="L9" s="139">
        <f t="shared" si="3"/>
        <v>0.7021412037037037</v>
      </c>
      <c r="M9" s="139">
        <f t="shared" si="1"/>
        <v>0.67545983796296294</v>
      </c>
      <c r="N9" s="12">
        <v>6</v>
      </c>
      <c r="O9" s="152">
        <f t="shared" si="4"/>
        <v>0.68950266203703703</v>
      </c>
      <c r="P9" s="12"/>
    </row>
    <row r="10" spans="1:16">
      <c r="A10" s="2" t="s">
        <v>152</v>
      </c>
      <c r="B10" s="2" t="s">
        <v>24</v>
      </c>
      <c r="C10" s="12" t="s">
        <v>55</v>
      </c>
      <c r="D10" s="12" t="s">
        <v>130</v>
      </c>
      <c r="E10" s="12" t="s">
        <v>82</v>
      </c>
      <c r="F10" s="6">
        <v>0.95899999999999996</v>
      </c>
      <c r="G10" s="6">
        <v>0.98</v>
      </c>
      <c r="H10" s="12" t="s">
        <v>57</v>
      </c>
      <c r="I10" s="151">
        <f t="shared" si="2"/>
        <v>0.77777777777777779</v>
      </c>
      <c r="J10" s="151">
        <f t="shared" si="0"/>
        <v>0.22222222222222221</v>
      </c>
      <c r="K10" s="139">
        <f>TIME(9,17,52)</f>
        <v>0.38740740740740742</v>
      </c>
      <c r="L10" s="139">
        <f t="shared" si="3"/>
        <v>0.60962962962962963</v>
      </c>
      <c r="M10" s="139">
        <f t="shared" si="1"/>
        <v>0.58463481481481483</v>
      </c>
      <c r="N10" s="12">
        <v>1</v>
      </c>
      <c r="O10" s="152">
        <f t="shared" si="4"/>
        <v>0.59743703703703699</v>
      </c>
      <c r="P10" s="12">
        <v>1</v>
      </c>
    </row>
    <row r="11" spans="1:16">
      <c r="A11" s="2" t="s">
        <v>4</v>
      </c>
      <c r="B11" s="2" t="s">
        <v>5</v>
      </c>
      <c r="C11" s="12" t="s">
        <v>11</v>
      </c>
      <c r="D11" s="12" t="s">
        <v>128</v>
      </c>
      <c r="E11" s="12">
        <v>185</v>
      </c>
      <c r="F11" s="6">
        <v>0.93600000000000005</v>
      </c>
      <c r="G11" s="6">
        <v>0.94099999999999995</v>
      </c>
      <c r="H11" s="12" t="s">
        <v>80</v>
      </c>
      <c r="I11" s="151">
        <f t="shared" si="2"/>
        <v>0.77777777777777779</v>
      </c>
      <c r="J11" s="151">
        <f t="shared" si="0"/>
        <v>0.22222222222222221</v>
      </c>
      <c r="K11" s="139">
        <f>TIME(11,46,12)</f>
        <v>0.49041666666666667</v>
      </c>
      <c r="L11" s="139">
        <f t="shared" si="3"/>
        <v>0.71263888888888882</v>
      </c>
      <c r="M11" s="139">
        <f t="shared" si="1"/>
        <v>0.66703000000000001</v>
      </c>
      <c r="N11" s="12">
        <v>3</v>
      </c>
      <c r="O11" s="152">
        <f t="shared" si="4"/>
        <v>0.67059319444444432</v>
      </c>
      <c r="P11" s="12"/>
    </row>
    <row r="12" spans="1:16">
      <c r="A12" s="2" t="s">
        <v>12</v>
      </c>
      <c r="B12" s="2" t="s">
        <v>13</v>
      </c>
      <c r="C12" s="12" t="s">
        <v>23</v>
      </c>
      <c r="D12" s="12" t="s">
        <v>129</v>
      </c>
      <c r="E12" s="12" t="s">
        <v>79</v>
      </c>
      <c r="F12" s="6">
        <v>0.874</v>
      </c>
      <c r="G12" s="6">
        <v>0.89600000000000002</v>
      </c>
      <c r="H12" s="12" t="s">
        <v>80</v>
      </c>
      <c r="I12" s="151">
        <f t="shared" si="2"/>
        <v>0.77777777777777779</v>
      </c>
      <c r="J12" s="151">
        <f t="shared" si="0"/>
        <v>0.22222222222222221</v>
      </c>
      <c r="K12" s="139">
        <f>TIME(11,17,41)</f>
        <v>0.47061342592592598</v>
      </c>
      <c r="L12" s="139">
        <f t="shared" si="3"/>
        <v>0.69283564814814813</v>
      </c>
      <c r="M12" s="139">
        <f t="shared" si="1"/>
        <v>0.60553835648148147</v>
      </c>
      <c r="N12" s="12">
        <v>2</v>
      </c>
      <c r="O12" s="152">
        <f t="shared" si="4"/>
        <v>0.62078074074074074</v>
      </c>
      <c r="P12" s="12">
        <v>3</v>
      </c>
    </row>
    <row r="13" spans="1:16">
      <c r="C13" s="5"/>
      <c r="D13" s="5"/>
      <c r="E13" s="5"/>
      <c r="F13" s="5"/>
      <c r="G13" s="5"/>
      <c r="H13" s="5"/>
      <c r="K13" s="139"/>
      <c r="L13" s="139"/>
      <c r="M13" s="139"/>
      <c r="N13" s="5"/>
      <c r="O13" s="152"/>
      <c r="P13" s="5"/>
    </row>
    <row r="14" spans="1:16">
      <c r="A14" s="1" t="s">
        <v>39</v>
      </c>
      <c r="C14" s="5"/>
      <c r="D14" s="5"/>
      <c r="E14" s="5"/>
      <c r="F14" s="5"/>
      <c r="G14" s="5"/>
      <c r="H14" s="5"/>
      <c r="K14" s="139"/>
      <c r="L14" s="139"/>
      <c r="M14" s="139"/>
      <c r="N14" s="5"/>
      <c r="O14" s="152"/>
      <c r="P14" s="5"/>
    </row>
    <row r="15" spans="1:16">
      <c r="A15" s="7" t="s">
        <v>27</v>
      </c>
      <c r="B15" s="7" t="s">
        <v>289</v>
      </c>
      <c r="C15" s="5" t="s">
        <v>290</v>
      </c>
      <c r="D15" s="5" t="s">
        <v>291</v>
      </c>
      <c r="E15" s="5" t="s">
        <v>292</v>
      </c>
      <c r="F15" s="20"/>
      <c r="G15" s="5">
        <v>1.0640000000000001</v>
      </c>
      <c r="H15" s="6" t="s">
        <v>102</v>
      </c>
      <c r="I15" s="151">
        <f>TIME(18,30,0)</f>
        <v>0.77083333333333337</v>
      </c>
      <c r="J15" s="151">
        <f t="shared" ref="J15:J39" si="5">TIME(5,30,0)</f>
        <v>0.22916666666666666</v>
      </c>
      <c r="K15" s="139">
        <f>TIME(8,56,50)</f>
        <v>0.37280092592592595</v>
      </c>
      <c r="L15" s="139">
        <f t="shared" si="3"/>
        <v>0.60196759259259258</v>
      </c>
      <c r="M15" s="139">
        <f>G15*L15</f>
        <v>0.64049351851851855</v>
      </c>
      <c r="N15" s="12">
        <v>1</v>
      </c>
      <c r="O15" s="152">
        <f t="shared" si="4"/>
        <v>0.64049351851851855</v>
      </c>
      <c r="P15" s="12"/>
    </row>
    <row r="16" spans="1:16">
      <c r="A16" s="2" t="s">
        <v>2</v>
      </c>
      <c r="B16" s="2" t="s">
        <v>3</v>
      </c>
      <c r="C16" s="12" t="s">
        <v>50</v>
      </c>
      <c r="D16" s="12" t="s">
        <v>133</v>
      </c>
      <c r="E16" s="12" t="s">
        <v>84</v>
      </c>
      <c r="F16" s="12"/>
      <c r="G16" s="6">
        <v>0.98299999999999998</v>
      </c>
      <c r="H16" s="12" t="s">
        <v>57</v>
      </c>
      <c r="I16" s="151">
        <f t="shared" ref="I16:I39" si="6">TIME(18,30,0)</f>
        <v>0.77083333333333337</v>
      </c>
      <c r="J16" s="151">
        <f t="shared" si="5"/>
        <v>0.22916666666666666</v>
      </c>
      <c r="K16" s="139">
        <f>TIME(10,58,20)</f>
        <v>0.45717592592592587</v>
      </c>
      <c r="L16" s="139">
        <f t="shared" si="3"/>
        <v>0.68634259259259256</v>
      </c>
      <c r="M16" s="139">
        <f t="shared" ref="M16:M39" si="7">G16*L16</f>
        <v>0.67467476851851849</v>
      </c>
      <c r="N16" s="12">
        <v>4</v>
      </c>
      <c r="O16" s="152">
        <f t="shared" si="4"/>
        <v>0.67467476851851849</v>
      </c>
      <c r="P16" s="12"/>
    </row>
    <row r="17" spans="1:16">
      <c r="A17" s="19" t="s">
        <v>293</v>
      </c>
      <c r="B17" s="19" t="s">
        <v>294</v>
      </c>
      <c r="C17" s="6" t="s">
        <v>295</v>
      </c>
      <c r="D17" s="6" t="s">
        <v>296</v>
      </c>
      <c r="E17" s="6" t="s">
        <v>297</v>
      </c>
      <c r="F17" s="6"/>
      <c r="G17" s="6">
        <v>0.94699999999999995</v>
      </c>
      <c r="H17" s="6" t="s">
        <v>80</v>
      </c>
      <c r="I17" s="151">
        <f t="shared" si="6"/>
        <v>0.77083333333333337</v>
      </c>
      <c r="J17" s="151">
        <f t="shared" si="5"/>
        <v>0.22916666666666666</v>
      </c>
      <c r="K17" s="139">
        <f>TIME(11,3,55)</f>
        <v>0.46105324074074078</v>
      </c>
      <c r="L17" s="139">
        <f t="shared" si="3"/>
        <v>0.69021990740740746</v>
      </c>
      <c r="M17" s="139">
        <f t="shared" si="7"/>
        <v>0.65363825231481487</v>
      </c>
      <c r="N17" s="6">
        <v>2</v>
      </c>
      <c r="O17" s="152">
        <f t="shared" si="4"/>
        <v>0.65363825231481487</v>
      </c>
      <c r="P17" s="6"/>
    </row>
    <row r="18" spans="1:16">
      <c r="A18" s="2" t="s">
        <v>27</v>
      </c>
      <c r="B18" s="2" t="s">
        <v>37</v>
      </c>
      <c r="C18" s="12" t="s">
        <v>10</v>
      </c>
      <c r="D18" s="12" t="s">
        <v>140</v>
      </c>
      <c r="E18" s="12" t="s">
        <v>99</v>
      </c>
      <c r="F18" s="12"/>
      <c r="G18" s="6">
        <v>0.94899999999999995</v>
      </c>
      <c r="H18" s="12" t="s">
        <v>57</v>
      </c>
      <c r="I18" s="151">
        <f t="shared" si="6"/>
        <v>0.77083333333333337</v>
      </c>
      <c r="J18" s="151">
        <f t="shared" si="5"/>
        <v>0.22916666666666666</v>
      </c>
      <c r="K18" s="139">
        <f>TIME(12,57,14)</f>
        <v>0.5397453703703704</v>
      </c>
      <c r="L18" s="139">
        <f t="shared" si="3"/>
        <v>0.76891203703703703</v>
      </c>
      <c r="M18" s="139">
        <f t="shared" si="7"/>
        <v>0.72969752314814806</v>
      </c>
      <c r="N18" s="12">
        <v>9</v>
      </c>
      <c r="O18" s="152">
        <f t="shared" si="4"/>
        <v>0.72969752314814806</v>
      </c>
      <c r="P18" s="12"/>
    </row>
    <row r="19" spans="1:16">
      <c r="A19" s="2" t="s">
        <v>93</v>
      </c>
      <c r="B19" s="2" t="s">
        <v>63</v>
      </c>
      <c r="C19" s="12" t="s">
        <v>156</v>
      </c>
      <c r="D19" s="12" t="s">
        <v>157</v>
      </c>
      <c r="E19" s="12" t="s">
        <v>158</v>
      </c>
      <c r="F19" s="20"/>
      <c r="G19" s="6">
        <v>0.94799999999999995</v>
      </c>
      <c r="H19" s="12" t="s">
        <v>57</v>
      </c>
      <c r="I19" s="151">
        <f t="shared" si="6"/>
        <v>0.77083333333333337</v>
      </c>
      <c r="J19" s="151">
        <f t="shared" si="5"/>
        <v>0.22916666666666666</v>
      </c>
      <c r="K19" s="139">
        <f>TIME(11,40,45)</f>
        <v>0.48663194444444446</v>
      </c>
      <c r="L19" s="139">
        <f t="shared" si="3"/>
        <v>0.71579861111111109</v>
      </c>
      <c r="M19" s="139">
        <f t="shared" si="7"/>
        <v>0.67857708333333333</v>
      </c>
      <c r="N19" s="12">
        <v>5</v>
      </c>
      <c r="O19" s="152">
        <f t="shared" si="4"/>
        <v>0.67857708333333333</v>
      </c>
      <c r="P19" s="12"/>
    </row>
    <row r="20" spans="1:16">
      <c r="A20" s="2" t="s">
        <v>109</v>
      </c>
      <c r="B20" s="2" t="s">
        <v>17</v>
      </c>
      <c r="C20" s="12" t="s">
        <v>59</v>
      </c>
      <c r="D20" s="12" t="s">
        <v>146</v>
      </c>
      <c r="E20" s="12" t="s">
        <v>97</v>
      </c>
      <c r="F20" s="12"/>
      <c r="G20" s="6">
        <v>0.94699999999999995</v>
      </c>
      <c r="H20" s="12" t="s">
        <v>57</v>
      </c>
      <c r="I20" s="151">
        <f t="shared" si="6"/>
        <v>0.77083333333333337</v>
      </c>
      <c r="J20" s="151">
        <f t="shared" si="5"/>
        <v>0.22916666666666666</v>
      </c>
      <c r="K20" s="156" t="s">
        <v>298</v>
      </c>
      <c r="L20" s="156" t="s">
        <v>298</v>
      </c>
      <c r="M20" s="156" t="s">
        <v>298</v>
      </c>
      <c r="N20" s="156" t="s">
        <v>298</v>
      </c>
      <c r="O20" s="156" t="s">
        <v>298</v>
      </c>
      <c r="P20" s="12"/>
    </row>
    <row r="21" spans="1:16">
      <c r="A21" s="2" t="s">
        <v>6</v>
      </c>
      <c r="B21" s="2" t="s">
        <v>7</v>
      </c>
      <c r="C21" s="12" t="s">
        <v>9</v>
      </c>
      <c r="D21" s="12" t="s">
        <v>142</v>
      </c>
      <c r="E21" s="12" t="s">
        <v>77</v>
      </c>
      <c r="F21" s="12"/>
      <c r="G21" s="6">
        <v>0.93799999999999994</v>
      </c>
      <c r="H21" s="12" t="s">
        <v>57</v>
      </c>
      <c r="I21" s="151">
        <f t="shared" si="6"/>
        <v>0.77083333333333337</v>
      </c>
      <c r="J21" s="151">
        <f t="shared" si="5"/>
        <v>0.22916666666666666</v>
      </c>
      <c r="K21" s="139">
        <f>TIME(13,8,30)</f>
        <v>0.54756944444444444</v>
      </c>
      <c r="L21" s="139">
        <f t="shared" si="3"/>
        <v>0.77673611111111107</v>
      </c>
      <c r="M21" s="139">
        <f t="shared" si="7"/>
        <v>0.72857847222222216</v>
      </c>
      <c r="N21" s="12">
        <v>10</v>
      </c>
      <c r="O21" s="152">
        <f t="shared" si="4"/>
        <v>0.72857847222222216</v>
      </c>
      <c r="P21" s="12"/>
    </row>
    <row r="22" spans="1:16">
      <c r="A22" s="19" t="s">
        <v>21</v>
      </c>
      <c r="B22" s="19" t="s">
        <v>299</v>
      </c>
      <c r="C22" s="6" t="s">
        <v>300</v>
      </c>
      <c r="D22" s="6" t="s">
        <v>301</v>
      </c>
      <c r="E22" s="6" t="s">
        <v>302</v>
      </c>
      <c r="F22" s="6"/>
      <c r="G22" s="6">
        <v>0.93300000000000005</v>
      </c>
      <c r="H22" s="6" t="s">
        <v>57</v>
      </c>
      <c r="I22" s="151">
        <f t="shared" si="6"/>
        <v>0.77083333333333337</v>
      </c>
      <c r="J22" s="151">
        <f t="shared" si="5"/>
        <v>0.22916666666666666</v>
      </c>
      <c r="K22" s="139">
        <f>TIME(12,31,51)</f>
        <v>0.52211805555555557</v>
      </c>
      <c r="L22" s="139">
        <f t="shared" si="3"/>
        <v>0.7512847222222222</v>
      </c>
      <c r="M22" s="139">
        <f t="shared" si="7"/>
        <v>0.70094864583333338</v>
      </c>
      <c r="N22" s="6">
        <v>8</v>
      </c>
      <c r="O22" s="152">
        <f t="shared" si="4"/>
        <v>0.70094864583333338</v>
      </c>
      <c r="P22" s="6"/>
    </row>
    <row r="23" spans="1:16">
      <c r="A23" s="19" t="s">
        <v>303</v>
      </c>
      <c r="B23" s="19" t="s">
        <v>304</v>
      </c>
      <c r="C23" s="6" t="s">
        <v>305</v>
      </c>
      <c r="D23" s="6" t="s">
        <v>306</v>
      </c>
      <c r="E23" s="6" t="s">
        <v>307</v>
      </c>
      <c r="F23" s="6"/>
      <c r="G23" s="6">
        <v>0.93</v>
      </c>
      <c r="H23" s="6" t="s">
        <v>57</v>
      </c>
      <c r="I23" s="151">
        <f t="shared" si="6"/>
        <v>0.77083333333333337</v>
      </c>
      <c r="J23" s="151">
        <f t="shared" si="5"/>
        <v>0.22916666666666666</v>
      </c>
      <c r="K23" s="139">
        <f>TIME(12,1,4)</f>
        <v>0.50074074074074071</v>
      </c>
      <c r="L23" s="139">
        <f t="shared" si="3"/>
        <v>0.72990740740740734</v>
      </c>
      <c r="M23" s="139">
        <f t="shared" si="7"/>
        <v>0.67881388888888883</v>
      </c>
      <c r="N23" s="6">
        <v>6</v>
      </c>
      <c r="O23" s="152">
        <f t="shared" si="4"/>
        <v>0.67881388888888883</v>
      </c>
      <c r="P23" s="6"/>
    </row>
    <row r="24" spans="1:16">
      <c r="A24" s="21" t="s">
        <v>308</v>
      </c>
      <c r="B24" s="21" t="s">
        <v>309</v>
      </c>
      <c r="C24" s="12" t="s">
        <v>310</v>
      </c>
      <c r="D24" s="12" t="s">
        <v>311</v>
      </c>
      <c r="E24" s="12">
        <v>1108</v>
      </c>
      <c r="F24" s="20"/>
      <c r="G24" s="6">
        <v>0.92500000000000004</v>
      </c>
      <c r="H24" s="6" t="s">
        <v>102</v>
      </c>
      <c r="I24" s="151">
        <f t="shared" si="6"/>
        <v>0.77083333333333337</v>
      </c>
      <c r="J24" s="151">
        <f t="shared" si="5"/>
        <v>0.22916666666666666</v>
      </c>
      <c r="K24" s="139">
        <f>TIME(12,35,55)</f>
        <v>0.52494212962962961</v>
      </c>
      <c r="L24" s="139">
        <f t="shared" si="3"/>
        <v>0.75410879629629624</v>
      </c>
      <c r="M24" s="139">
        <f t="shared" si="7"/>
        <v>0.69755063657407401</v>
      </c>
      <c r="N24" s="12">
        <v>7</v>
      </c>
      <c r="O24" s="152">
        <f t="shared" si="4"/>
        <v>0.69755063657407401</v>
      </c>
      <c r="P24" s="12"/>
    </row>
    <row r="25" spans="1:16">
      <c r="A25" s="19" t="s">
        <v>218</v>
      </c>
      <c r="B25" s="19" t="s">
        <v>312</v>
      </c>
      <c r="C25" s="6" t="s">
        <v>313</v>
      </c>
      <c r="D25" s="6" t="s">
        <v>314</v>
      </c>
      <c r="E25" s="6" t="s">
        <v>315</v>
      </c>
      <c r="F25" s="6"/>
      <c r="G25" s="6">
        <v>0.92100000000000004</v>
      </c>
      <c r="H25" s="6" t="s">
        <v>57</v>
      </c>
      <c r="I25" s="151">
        <f t="shared" si="6"/>
        <v>0.77083333333333337</v>
      </c>
      <c r="J25" s="151">
        <f t="shared" si="5"/>
        <v>0.22916666666666666</v>
      </c>
      <c r="K25" s="139">
        <f>TIME(11,57,10)</f>
        <v>0.4980324074074074</v>
      </c>
      <c r="L25" s="139">
        <f t="shared" si="3"/>
        <v>0.72719907407407403</v>
      </c>
      <c r="M25" s="139">
        <f t="shared" si="7"/>
        <v>0.66975034722222215</v>
      </c>
      <c r="N25" s="6">
        <v>3</v>
      </c>
      <c r="O25" s="152">
        <f t="shared" si="4"/>
        <v>0.66975034722222215</v>
      </c>
      <c r="P25" s="6"/>
    </row>
    <row r="26" spans="1:16">
      <c r="A26" s="2" t="s">
        <v>58</v>
      </c>
      <c r="B26" s="144" t="s">
        <v>56</v>
      </c>
      <c r="C26" s="12" t="s">
        <v>60</v>
      </c>
      <c r="D26" s="12" t="s">
        <v>141</v>
      </c>
      <c r="E26" s="12" t="s">
        <v>81</v>
      </c>
      <c r="F26" s="6"/>
      <c r="G26" s="6">
        <v>0.77700000000000002</v>
      </c>
      <c r="H26" s="12" t="s">
        <v>57</v>
      </c>
      <c r="I26" s="151">
        <f t="shared" si="6"/>
        <v>0.77083333333333337</v>
      </c>
      <c r="J26" s="151">
        <f t="shared" si="5"/>
        <v>0.22916666666666666</v>
      </c>
      <c r="K26" s="139">
        <f>TIME(17,1,8)</f>
        <v>0.70912037037037035</v>
      </c>
      <c r="L26" s="139">
        <f t="shared" si="3"/>
        <v>0.93828703703703698</v>
      </c>
      <c r="M26" s="139">
        <f t="shared" si="7"/>
        <v>0.7290490277777778</v>
      </c>
      <c r="N26" s="12">
        <v>11</v>
      </c>
      <c r="O26" s="152">
        <f t="shared" si="4"/>
        <v>0.7290490277777778</v>
      </c>
      <c r="P26" s="12"/>
    </row>
    <row r="27" spans="1:16">
      <c r="A27" s="3" t="s">
        <v>18</v>
      </c>
      <c r="B27" s="3" t="s">
        <v>19</v>
      </c>
      <c r="C27" s="6" t="s">
        <v>69</v>
      </c>
      <c r="D27" s="6" t="s">
        <v>141</v>
      </c>
      <c r="E27" s="6" t="s">
        <v>148</v>
      </c>
      <c r="F27" s="6"/>
      <c r="G27" s="6">
        <v>0.77700000000000002</v>
      </c>
      <c r="H27" s="6" t="s">
        <v>57</v>
      </c>
      <c r="I27" s="151">
        <f t="shared" si="6"/>
        <v>0.77083333333333337</v>
      </c>
      <c r="J27" s="151">
        <f t="shared" si="5"/>
        <v>0.22916666666666666</v>
      </c>
      <c r="K27" s="156" t="s">
        <v>298</v>
      </c>
      <c r="L27" s="156" t="s">
        <v>298</v>
      </c>
      <c r="M27" s="156" t="s">
        <v>298</v>
      </c>
      <c r="N27" s="156" t="s">
        <v>298</v>
      </c>
      <c r="O27" s="156" t="s">
        <v>298</v>
      </c>
      <c r="P27" s="6"/>
    </row>
    <row r="28" spans="1:16">
      <c r="A28" s="3"/>
      <c r="B28" s="3"/>
      <c r="C28" s="6"/>
      <c r="D28" s="6"/>
      <c r="E28" s="6"/>
      <c r="F28" s="6"/>
      <c r="G28" s="6"/>
      <c r="H28" s="6"/>
      <c r="I28" s="151"/>
      <c r="J28" s="151"/>
      <c r="K28" s="156"/>
      <c r="L28" s="156"/>
      <c r="M28" s="156"/>
      <c r="N28" s="156"/>
      <c r="O28" s="156"/>
      <c r="P28" s="6"/>
    </row>
    <row r="29" spans="1:16">
      <c r="A29" s="4" t="s">
        <v>316</v>
      </c>
      <c r="B29" s="3"/>
      <c r="C29" s="6"/>
      <c r="D29" s="143"/>
      <c r="E29" s="6"/>
      <c r="F29" s="6"/>
      <c r="G29" s="6"/>
      <c r="H29" s="6"/>
      <c r="I29" s="151"/>
      <c r="J29" s="151"/>
      <c r="K29" s="156"/>
      <c r="L29" s="156"/>
      <c r="M29" s="156"/>
      <c r="N29" s="156"/>
      <c r="O29" s="156"/>
      <c r="P29" s="6"/>
    </row>
    <row r="30" spans="1:16">
      <c r="A30" s="19" t="s">
        <v>317</v>
      </c>
      <c r="B30" s="19" t="s">
        <v>318</v>
      </c>
      <c r="C30" s="6" t="s">
        <v>319</v>
      </c>
      <c r="D30" s="6" t="s">
        <v>320</v>
      </c>
      <c r="E30" s="6" t="s">
        <v>321</v>
      </c>
      <c r="F30" s="6"/>
      <c r="G30" s="6">
        <v>1.02</v>
      </c>
      <c r="H30" s="6"/>
      <c r="I30" s="151">
        <f t="shared" si="6"/>
        <v>0.77083333333333337</v>
      </c>
      <c r="J30" s="151">
        <f t="shared" si="5"/>
        <v>0.22916666666666666</v>
      </c>
      <c r="K30" s="139">
        <f>TIME(12,13,0)</f>
        <v>0.50902777777777775</v>
      </c>
      <c r="L30" s="139">
        <f t="shared" si="3"/>
        <v>0.73819444444444438</v>
      </c>
      <c r="M30" s="139">
        <f t="shared" si="7"/>
        <v>0.75295833333333329</v>
      </c>
      <c r="N30" s="6">
        <v>8</v>
      </c>
      <c r="O30" s="152">
        <f t="shared" si="4"/>
        <v>0.75295833333333329</v>
      </c>
      <c r="P30" s="6"/>
    </row>
    <row r="31" spans="1:16">
      <c r="A31" s="7" t="s">
        <v>322</v>
      </c>
      <c r="B31" s="7" t="s">
        <v>323</v>
      </c>
      <c r="C31" s="5" t="s">
        <v>324</v>
      </c>
      <c r="D31" s="5" t="s">
        <v>325</v>
      </c>
      <c r="E31" s="6" t="s">
        <v>321</v>
      </c>
      <c r="F31" s="5"/>
      <c r="G31" s="5">
        <v>1.012</v>
      </c>
      <c r="H31" s="5"/>
      <c r="I31" s="151">
        <f t="shared" si="6"/>
        <v>0.77083333333333337</v>
      </c>
      <c r="J31" s="151">
        <f t="shared" si="5"/>
        <v>0.22916666666666666</v>
      </c>
      <c r="K31" s="139">
        <f>TIME(10,36,30)</f>
        <v>0.44201388888888887</v>
      </c>
      <c r="L31" s="139">
        <f t="shared" si="3"/>
        <v>0.67118055555555556</v>
      </c>
      <c r="M31" s="139">
        <f t="shared" si="7"/>
        <v>0.67923472222222225</v>
      </c>
      <c r="N31" s="5">
        <v>3</v>
      </c>
      <c r="O31" s="152">
        <f t="shared" si="4"/>
        <v>0.67923472222222225</v>
      </c>
      <c r="P31" s="5"/>
    </row>
    <row r="32" spans="1:16">
      <c r="A32" s="19" t="s">
        <v>326</v>
      </c>
      <c r="B32" s="19" t="s">
        <v>327</v>
      </c>
      <c r="C32" s="6" t="s">
        <v>328</v>
      </c>
      <c r="D32" s="6" t="s">
        <v>329</v>
      </c>
      <c r="E32" s="6" t="s">
        <v>321</v>
      </c>
      <c r="F32" s="6"/>
      <c r="G32" s="6">
        <v>1</v>
      </c>
      <c r="H32" s="6"/>
      <c r="I32" s="151">
        <f t="shared" si="6"/>
        <v>0.77083333333333337</v>
      </c>
      <c r="J32" s="151">
        <f t="shared" si="5"/>
        <v>0.22916666666666666</v>
      </c>
      <c r="K32" s="139">
        <f>TIME(9,0,0)</f>
        <v>0.375</v>
      </c>
      <c r="L32" s="139">
        <f t="shared" si="3"/>
        <v>0.60416666666666663</v>
      </c>
      <c r="M32" s="139">
        <f t="shared" si="7"/>
        <v>0.60416666666666663</v>
      </c>
      <c r="N32" s="6">
        <v>1</v>
      </c>
      <c r="O32" s="152">
        <f t="shared" si="4"/>
        <v>0.60416666666666663</v>
      </c>
      <c r="P32" s="6">
        <v>2</v>
      </c>
    </row>
    <row r="33" spans="1:16">
      <c r="A33" s="19" t="s">
        <v>330</v>
      </c>
      <c r="B33" s="19" t="s">
        <v>331</v>
      </c>
      <c r="C33" s="6" t="s">
        <v>332</v>
      </c>
      <c r="D33" s="6" t="s">
        <v>333</v>
      </c>
      <c r="E33" s="6" t="s">
        <v>321</v>
      </c>
      <c r="F33" s="6"/>
      <c r="G33" s="6">
        <v>0.99099999999999999</v>
      </c>
      <c r="H33" s="6"/>
      <c r="I33" s="151">
        <f t="shared" si="6"/>
        <v>0.77083333333333337</v>
      </c>
      <c r="J33" s="151">
        <f t="shared" si="5"/>
        <v>0.22916666666666666</v>
      </c>
      <c r="K33" s="139">
        <f>TIME(11,54,30)</f>
        <v>0.49618055555555557</v>
      </c>
      <c r="L33" s="139">
        <f t="shared" si="3"/>
        <v>0.72534722222222225</v>
      </c>
      <c r="M33" s="139">
        <f t="shared" si="7"/>
        <v>0.71881909722222226</v>
      </c>
      <c r="N33" s="6">
        <v>4</v>
      </c>
      <c r="O33" s="152">
        <f t="shared" si="4"/>
        <v>0.71881909722222226</v>
      </c>
      <c r="P33" s="6"/>
    </row>
    <row r="34" spans="1:16">
      <c r="A34" s="19" t="s">
        <v>334</v>
      </c>
      <c r="B34" s="19" t="s">
        <v>335</v>
      </c>
      <c r="C34" s="6" t="s">
        <v>336</v>
      </c>
      <c r="D34" s="6" t="s">
        <v>337</v>
      </c>
      <c r="E34" s="6" t="s">
        <v>321</v>
      </c>
      <c r="F34" s="6"/>
      <c r="G34" s="6">
        <v>0.96</v>
      </c>
      <c r="H34" s="6"/>
      <c r="I34" s="151">
        <f t="shared" si="6"/>
        <v>0.77083333333333337</v>
      </c>
      <c r="J34" s="151">
        <f t="shared" si="5"/>
        <v>0.22916666666666666</v>
      </c>
      <c r="K34" s="139">
        <f>TIME(10,44,0)</f>
        <v>0.44722222222222219</v>
      </c>
      <c r="L34" s="139">
        <f t="shared" si="3"/>
        <v>0.67638888888888882</v>
      </c>
      <c r="M34" s="139">
        <f t="shared" si="7"/>
        <v>0.64933333333333321</v>
      </c>
      <c r="N34" s="6">
        <v>2</v>
      </c>
      <c r="O34" s="152">
        <f t="shared" si="4"/>
        <v>0.64933333333333321</v>
      </c>
      <c r="P34" s="6"/>
    </row>
    <row r="35" spans="1:16">
      <c r="A35" s="19" t="s">
        <v>338</v>
      </c>
      <c r="B35" s="19" t="s">
        <v>339</v>
      </c>
      <c r="C35" s="6" t="s">
        <v>340</v>
      </c>
      <c r="D35" s="6" t="s">
        <v>341</v>
      </c>
      <c r="E35" s="6" t="s">
        <v>321</v>
      </c>
      <c r="F35" s="6"/>
      <c r="G35" s="6">
        <v>0.93200000000000005</v>
      </c>
      <c r="H35" s="6" t="s">
        <v>57</v>
      </c>
      <c r="I35" s="151">
        <f t="shared" si="6"/>
        <v>0.77083333333333337</v>
      </c>
      <c r="J35" s="151">
        <f t="shared" si="5"/>
        <v>0.22916666666666666</v>
      </c>
      <c r="K35" s="139">
        <f>TIME(12,55,0)</f>
        <v>0.53819444444444442</v>
      </c>
      <c r="L35" s="139">
        <f t="shared" si="3"/>
        <v>0.76736111111111105</v>
      </c>
      <c r="M35" s="139">
        <f t="shared" si="7"/>
        <v>0.71518055555555549</v>
      </c>
      <c r="N35" s="6">
        <v>6</v>
      </c>
      <c r="O35" s="152">
        <f t="shared" si="4"/>
        <v>0.71518055555555549</v>
      </c>
      <c r="P35" s="6"/>
    </row>
    <row r="36" spans="1:16">
      <c r="A36" s="19" t="s">
        <v>342</v>
      </c>
      <c r="B36" s="19" t="s">
        <v>343</v>
      </c>
      <c r="C36" s="6" t="s">
        <v>344</v>
      </c>
      <c r="D36" s="6" t="s">
        <v>345</v>
      </c>
      <c r="E36" s="6" t="s">
        <v>321</v>
      </c>
      <c r="F36" s="6"/>
      <c r="G36" s="6">
        <v>0.92100000000000004</v>
      </c>
      <c r="H36" s="6" t="s">
        <v>57</v>
      </c>
      <c r="I36" s="151">
        <f t="shared" si="6"/>
        <v>0.77083333333333337</v>
      </c>
      <c r="J36" s="151">
        <f t="shared" si="5"/>
        <v>0.22916666666666666</v>
      </c>
      <c r="K36" s="139">
        <f>TIME(13,3,0)</f>
        <v>0.54375000000000007</v>
      </c>
      <c r="L36" s="139">
        <f t="shared" si="3"/>
        <v>0.7729166666666667</v>
      </c>
      <c r="M36" s="139">
        <f t="shared" si="7"/>
        <v>0.71185625000000008</v>
      </c>
      <c r="N36" s="6">
        <v>5</v>
      </c>
      <c r="O36" s="152">
        <f t="shared" si="4"/>
        <v>0.71185625000000008</v>
      </c>
      <c r="P36" s="6"/>
    </row>
    <row r="37" spans="1:16">
      <c r="A37" s="19" t="s">
        <v>317</v>
      </c>
      <c r="B37" s="19" t="s">
        <v>346</v>
      </c>
      <c r="C37" s="6" t="s">
        <v>347</v>
      </c>
      <c r="D37" s="6" t="s">
        <v>348</v>
      </c>
      <c r="E37" s="6" t="s">
        <v>321</v>
      </c>
      <c r="F37" s="6"/>
      <c r="G37" s="6">
        <v>0.87</v>
      </c>
      <c r="H37" s="6"/>
      <c r="I37" s="151">
        <f t="shared" si="6"/>
        <v>0.77083333333333337</v>
      </c>
      <c r="J37" s="151">
        <f t="shared" si="5"/>
        <v>0.22916666666666666</v>
      </c>
      <c r="K37" s="156" t="s">
        <v>298</v>
      </c>
      <c r="L37" s="156" t="s">
        <v>298</v>
      </c>
      <c r="M37" s="156" t="s">
        <v>298</v>
      </c>
      <c r="N37" s="156" t="s">
        <v>298</v>
      </c>
      <c r="O37" s="156" t="s">
        <v>298</v>
      </c>
      <c r="P37" s="6"/>
    </row>
    <row r="38" spans="1:16">
      <c r="A38" s="19" t="s">
        <v>349</v>
      </c>
      <c r="B38" s="19" t="s">
        <v>350</v>
      </c>
      <c r="C38" s="6" t="s">
        <v>351</v>
      </c>
      <c r="D38" s="6" t="s">
        <v>352</v>
      </c>
      <c r="E38" s="6" t="s">
        <v>321</v>
      </c>
      <c r="F38" s="6"/>
      <c r="G38" s="6">
        <v>0.86799999999999999</v>
      </c>
      <c r="H38" s="6"/>
      <c r="I38" s="151">
        <f t="shared" si="6"/>
        <v>0.77083333333333337</v>
      </c>
      <c r="J38" s="151">
        <f t="shared" si="5"/>
        <v>0.22916666666666666</v>
      </c>
      <c r="K38" s="139">
        <f>TIME(16,36,0)</f>
        <v>0.69166666666666676</v>
      </c>
      <c r="L38" s="139">
        <f t="shared" si="3"/>
        <v>0.92083333333333339</v>
      </c>
      <c r="M38" s="139">
        <f t="shared" si="7"/>
        <v>0.79928333333333335</v>
      </c>
      <c r="N38" s="6">
        <v>9</v>
      </c>
      <c r="O38" s="152">
        <f t="shared" si="4"/>
        <v>0.79928333333333335</v>
      </c>
      <c r="P38" s="6"/>
    </row>
    <row r="39" spans="1:16">
      <c r="A39" s="157" t="s">
        <v>353</v>
      </c>
      <c r="B39" s="19" t="s">
        <v>354</v>
      </c>
      <c r="C39" s="6" t="s">
        <v>355</v>
      </c>
      <c r="D39" s="6" t="s">
        <v>356</v>
      </c>
      <c r="E39" s="6" t="s">
        <v>321</v>
      </c>
      <c r="F39" s="6"/>
      <c r="G39" s="6">
        <v>0.84499999999999997</v>
      </c>
      <c r="H39" s="6" t="s">
        <v>57</v>
      </c>
      <c r="I39" s="151">
        <f t="shared" si="6"/>
        <v>0.77083333333333337</v>
      </c>
      <c r="J39" s="151">
        <f t="shared" si="5"/>
        <v>0.22916666666666666</v>
      </c>
      <c r="K39" s="139">
        <f>TIME(15,6,0)</f>
        <v>0.62916666666666665</v>
      </c>
      <c r="L39" s="139">
        <f t="shared" si="3"/>
        <v>0.85833333333333328</v>
      </c>
      <c r="M39" s="139">
        <f t="shared" si="7"/>
        <v>0.72529166666666656</v>
      </c>
      <c r="N39" s="6">
        <v>7</v>
      </c>
      <c r="O39" s="152">
        <f t="shared" si="4"/>
        <v>0.72529166666666656</v>
      </c>
      <c r="P39" s="6"/>
    </row>
    <row r="40" spans="1:16">
      <c r="A40" s="19"/>
      <c r="B40" s="19"/>
      <c r="C40" s="20"/>
      <c r="D40" s="6"/>
      <c r="E40" s="6"/>
      <c r="F40" s="6"/>
      <c r="G40" s="6"/>
      <c r="H40" s="6"/>
      <c r="I40" s="151"/>
      <c r="J40" s="151"/>
      <c r="K40" s="139"/>
      <c r="L40" s="139"/>
      <c r="M40" s="139"/>
      <c r="N40" s="6"/>
      <c r="O40" s="150"/>
      <c r="P40" s="6"/>
    </row>
    <row r="41" spans="1:16">
      <c r="A41" s="143" t="s">
        <v>357</v>
      </c>
      <c r="B41" s="19"/>
      <c r="C41" s="6"/>
      <c r="D41" s="6"/>
      <c r="E41" s="6"/>
      <c r="F41" s="158"/>
      <c r="G41" s="6"/>
      <c r="H41" s="6"/>
      <c r="I41" s="151"/>
      <c r="J41" s="151"/>
      <c r="K41" s="139"/>
      <c r="L41" s="139"/>
      <c r="M41" s="139"/>
      <c r="N41" s="6"/>
      <c r="O41" s="150"/>
      <c r="P41" s="6"/>
    </row>
    <row r="42" spans="1:16">
      <c r="A42" s="19" t="s">
        <v>358</v>
      </c>
      <c r="B42" s="19" t="s">
        <v>359</v>
      </c>
      <c r="C42" s="6" t="s">
        <v>360</v>
      </c>
      <c r="D42" s="6" t="s">
        <v>361</v>
      </c>
      <c r="E42" s="6" t="s">
        <v>362</v>
      </c>
      <c r="F42" s="159">
        <v>1.5569999999999999</v>
      </c>
      <c r="G42" s="6"/>
      <c r="H42" s="6" t="s">
        <v>57</v>
      </c>
      <c r="I42" s="151">
        <f>TIME(18,50,0)</f>
        <v>0.78472222222222221</v>
      </c>
      <c r="J42" s="151">
        <f>TIME(5,10,0)</f>
        <v>0.21527777777777779</v>
      </c>
      <c r="K42" s="139">
        <f>TIME(2,52,20)</f>
        <v>0.11967592592592592</v>
      </c>
      <c r="L42" s="139">
        <f t="shared" si="3"/>
        <v>0.3349537037037037</v>
      </c>
      <c r="M42" s="139">
        <f>F42*L42</f>
        <v>0.52152291666666661</v>
      </c>
      <c r="N42" s="6">
        <v>2</v>
      </c>
      <c r="O42" s="150"/>
      <c r="P42" s="6"/>
    </row>
    <row r="43" spans="1:16">
      <c r="A43" s="19" t="s">
        <v>191</v>
      </c>
      <c r="B43" s="19" t="s">
        <v>363</v>
      </c>
      <c r="C43" s="6" t="s">
        <v>364</v>
      </c>
      <c r="D43" s="6" t="s">
        <v>365</v>
      </c>
      <c r="E43" s="6" t="s">
        <v>366</v>
      </c>
      <c r="F43" s="159">
        <v>1.3340000000000001</v>
      </c>
      <c r="G43" s="160"/>
      <c r="H43" s="6" t="s">
        <v>57</v>
      </c>
      <c r="I43" s="151">
        <f>TIME(18,50,0)</f>
        <v>0.78472222222222221</v>
      </c>
      <c r="J43" s="153" t="s">
        <v>298</v>
      </c>
      <c r="K43" s="153" t="s">
        <v>298</v>
      </c>
      <c r="L43" s="153" t="s">
        <v>298</v>
      </c>
      <c r="M43" s="153" t="s">
        <v>298</v>
      </c>
      <c r="N43" s="154" t="s">
        <v>298</v>
      </c>
      <c r="O43" s="150"/>
      <c r="P43" s="6"/>
    </row>
    <row r="44" spans="1:16">
      <c r="A44" s="19" t="s">
        <v>30</v>
      </c>
      <c r="B44" s="19" t="s">
        <v>367</v>
      </c>
      <c r="C44" s="6" t="s">
        <v>368</v>
      </c>
      <c r="D44" s="6" t="s">
        <v>369</v>
      </c>
      <c r="E44" s="6" t="s">
        <v>370</v>
      </c>
      <c r="F44" s="6">
        <v>1.3029999999999999</v>
      </c>
      <c r="G44" s="6"/>
      <c r="H44" s="6" t="s">
        <v>371</v>
      </c>
      <c r="I44" s="151">
        <f>TIME(18,50,0)</f>
        <v>0.78472222222222221</v>
      </c>
      <c r="J44" s="151">
        <f>TIME(5,10,0)</f>
        <v>0.21527777777777779</v>
      </c>
      <c r="K44" s="139">
        <f>TIME(5,7,9)</f>
        <v>0.21329861111111112</v>
      </c>
      <c r="L44" s="139">
        <f t="shared" si="3"/>
        <v>0.42857638888888894</v>
      </c>
      <c r="M44" s="139">
        <f>F44*L44</f>
        <v>0.55843503472222222</v>
      </c>
      <c r="N44" s="6">
        <v>3</v>
      </c>
      <c r="O44" s="150"/>
      <c r="P44" s="20"/>
    </row>
    <row r="45" spans="1:16">
      <c r="A45" s="19" t="s">
        <v>372</v>
      </c>
      <c r="B45" s="19" t="s">
        <v>373</v>
      </c>
      <c r="C45" s="6" t="s">
        <v>374</v>
      </c>
      <c r="D45" s="6" t="s">
        <v>369</v>
      </c>
      <c r="E45" s="6" t="s">
        <v>375</v>
      </c>
      <c r="F45" s="6">
        <v>1.2490000000000001</v>
      </c>
      <c r="G45" s="6"/>
      <c r="H45" s="6" t="s">
        <v>57</v>
      </c>
      <c r="I45" s="151">
        <f>TIME(18,50,0)</f>
        <v>0.78472222222222221</v>
      </c>
      <c r="J45" s="151">
        <f>TIME(5,10,0)</f>
        <v>0.21527777777777779</v>
      </c>
      <c r="K45" s="139">
        <f>TIME(4,28,30)</f>
        <v>0.18645833333333331</v>
      </c>
      <c r="L45" s="139">
        <f t="shared" si="3"/>
        <v>0.40173611111111107</v>
      </c>
      <c r="M45" s="139">
        <f>F45*L45</f>
        <v>0.50176840277777779</v>
      </c>
      <c r="N45" s="6">
        <v>1</v>
      </c>
      <c r="O45" s="150"/>
      <c r="P45" s="6"/>
    </row>
    <row r="46" spans="1:16">
      <c r="A46" s="19" t="s">
        <v>218</v>
      </c>
      <c r="B46" s="19" t="s">
        <v>376</v>
      </c>
      <c r="C46" s="6" t="s">
        <v>377</v>
      </c>
      <c r="D46" s="6" t="s">
        <v>378</v>
      </c>
      <c r="E46" s="6" t="s">
        <v>379</v>
      </c>
      <c r="F46" s="159">
        <v>1.224</v>
      </c>
      <c r="G46" s="6"/>
      <c r="H46" s="6" t="s">
        <v>102</v>
      </c>
      <c r="I46" s="151">
        <f>TIME(18,50,0)</f>
        <v>0.78472222222222221</v>
      </c>
      <c r="J46" s="151">
        <f>TIME(5,10,0)</f>
        <v>0.21527777777777779</v>
      </c>
      <c r="K46" s="139">
        <f>TIME(9,52,15)</f>
        <v>0.41128472222222223</v>
      </c>
      <c r="L46" s="139">
        <f t="shared" si="3"/>
        <v>0.62656250000000002</v>
      </c>
      <c r="M46" s="139">
        <f>F46*L46</f>
        <v>0.7669125</v>
      </c>
      <c r="N46" s="6">
        <v>4</v>
      </c>
      <c r="O46" s="150"/>
      <c r="P4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Autumn Series</vt:lpstr>
      <vt:lpstr>YHQ Trophy</vt:lpstr>
      <vt:lpstr>YealmSalcombe</vt:lpstr>
      <vt:lpstr>YealmFowey</vt:lpstr>
      <vt:lpstr>YealmEddystone</vt:lpstr>
      <vt:lpstr>May Triangle</vt:lpstr>
      <vt:lpstr>Ladies Race</vt:lpstr>
      <vt:lpstr>Pursuit Race</vt:lpstr>
      <vt:lpstr>Trebeurden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2019-11-09T12:26:38Z</cp:lastPrinted>
  <dcterms:created xsi:type="dcterms:W3CDTF">2017-11-19T17:24:25Z</dcterms:created>
  <dcterms:modified xsi:type="dcterms:W3CDTF">2021-05-12T15:37:29Z</dcterms:modified>
</cp:coreProperties>
</file>